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L:\Ledelse&amp;Økonomi\LandbrugsInfo\01-LandbrugsInfo\23-Promille\"/>
    </mc:Choice>
  </mc:AlternateContent>
  <xr:revisionPtr revIDLastSave="0" documentId="8_{05170835-6DF0-40D0-9E68-B8330EEA0E28}" xr6:coauthVersionLast="47" xr6:coauthVersionMax="47" xr10:uidLastSave="{00000000-0000-0000-0000-000000000000}"/>
  <bookViews>
    <workbookView xWindow="28680" yWindow="-120" windowWidth="29040" windowHeight="17640" tabRatio="598" xr2:uid="{00000000-000D-0000-FFFF-FFFF00000000}"/>
  </bookViews>
  <sheets>
    <sheet name="Pil" sheetId="24" r:id="rId1"/>
    <sheet name="FAKTKOL" sheetId="26" state="hidden" r:id="rId2"/>
  </sheets>
  <definedNames>
    <definedName name="_xlnm.Print_Area" localSheetId="0">Pil!$A$1:$L$86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24" l="1"/>
  <c r="E11" i="24" l="1"/>
  <c r="L3" i="26" l="1"/>
  <c r="L2" i="26"/>
  <c r="H46" i="26" s="1"/>
  <c r="E3" i="26"/>
  <c r="E5" i="26" s="1"/>
  <c r="D1" i="26"/>
  <c r="K25" i="26" s="1"/>
  <c r="D10" i="26"/>
  <c r="W26" i="26"/>
  <c r="F24" i="24"/>
  <c r="F68" i="24" s="1"/>
  <c r="E9" i="24"/>
  <c r="E8" i="24" s="1"/>
  <c r="D60" i="24"/>
  <c r="I46" i="26" l="1"/>
  <c r="W24" i="26"/>
  <c r="Y24" i="26" s="1"/>
  <c r="K36" i="26"/>
  <c r="M36" i="26" s="1"/>
  <c r="AC39" i="26"/>
  <c r="AE39" i="26" s="1"/>
  <c r="K28" i="26"/>
  <c r="M28" i="26" s="1"/>
  <c r="G24" i="24"/>
  <c r="G23" i="24"/>
  <c r="W18" i="26"/>
  <c r="Y18" i="26" s="1"/>
  <c r="W14" i="26"/>
  <c r="Y14" i="26" s="1"/>
  <c r="Q39" i="26"/>
  <c r="S39" i="26" s="1"/>
  <c r="K11" i="26"/>
  <c r="M11" i="26" s="1"/>
  <c r="K38" i="26"/>
  <c r="M38" i="26" s="1"/>
  <c r="K20" i="26"/>
  <c r="M20" i="26" s="1"/>
  <c r="F64" i="24"/>
  <c r="K27" i="26"/>
  <c r="M27" i="26" s="1"/>
  <c r="S9" i="26"/>
  <c r="F10" i="26"/>
  <c r="F9" i="26"/>
  <c r="Y9" i="26"/>
  <c r="Y13" i="26"/>
  <c r="Y21" i="26"/>
  <c r="Y25" i="26"/>
  <c r="Y35" i="26"/>
  <c r="Y17" i="26"/>
  <c r="Y39" i="26"/>
  <c r="Y11" i="26"/>
  <c r="Y26" i="26"/>
  <c r="Y31" i="26"/>
  <c r="Y23" i="26"/>
  <c r="Y15" i="26"/>
  <c r="AE9" i="26"/>
  <c r="Y37" i="26"/>
  <c r="AE10" i="26"/>
  <c r="Y29" i="26"/>
  <c r="Y33" i="26"/>
  <c r="Y27" i="26"/>
  <c r="Y19" i="26"/>
  <c r="M25" i="26"/>
  <c r="H47" i="26"/>
  <c r="F70" i="24"/>
  <c r="W30" i="26"/>
  <c r="Y30" i="26" s="1"/>
  <c r="K34" i="26"/>
  <c r="M34" i="26" s="1"/>
  <c r="K17" i="26"/>
  <c r="M17" i="26" s="1"/>
  <c r="Q10" i="26"/>
  <c r="S10" i="26" s="1"/>
  <c r="K31" i="26"/>
  <c r="M31" i="26" s="1"/>
  <c r="W32" i="26"/>
  <c r="Y32" i="26" s="1"/>
  <c r="W16" i="26"/>
  <c r="Y16" i="26" s="1"/>
  <c r="K33" i="26"/>
  <c r="M33" i="26" s="1"/>
  <c r="K24" i="26"/>
  <c r="M24" i="26" s="1"/>
  <c r="K16" i="26"/>
  <c r="M16" i="26" s="1"/>
  <c r="AC38" i="26"/>
  <c r="AE38" i="26" s="1"/>
  <c r="K19" i="26"/>
  <c r="M19" i="26" s="1"/>
  <c r="K37" i="26"/>
  <c r="M37" i="26" s="1"/>
  <c r="K9" i="26"/>
  <c r="M9" i="26" s="1"/>
  <c r="H51" i="24" s="1"/>
  <c r="K13" i="26"/>
  <c r="M13" i="26" s="1"/>
  <c r="F66" i="24"/>
  <c r="W38" i="26"/>
  <c r="Y38" i="26" s="1"/>
  <c r="W22" i="26"/>
  <c r="Y22" i="26" s="1"/>
  <c r="K39" i="26"/>
  <c r="M39" i="26" s="1"/>
  <c r="K29" i="26"/>
  <c r="M29" i="26" s="1"/>
  <c r="K21" i="26"/>
  <c r="M21" i="26" s="1"/>
  <c r="K12" i="26"/>
  <c r="M12" i="26" s="1"/>
  <c r="Q38" i="26"/>
  <c r="S38" i="26" s="1"/>
  <c r="K10" i="26"/>
  <c r="W36" i="26"/>
  <c r="Y36" i="26" s="1"/>
  <c r="W28" i="26"/>
  <c r="Y28" i="26" s="1"/>
  <c r="W20" i="26"/>
  <c r="Y20" i="26" s="1"/>
  <c r="W12" i="26"/>
  <c r="Y12" i="26" s="1"/>
  <c r="K35" i="26"/>
  <c r="M35" i="26" s="1"/>
  <c r="K30" i="26"/>
  <c r="M30" i="26" s="1"/>
  <c r="K26" i="26"/>
  <c r="M26" i="26" s="1"/>
  <c r="K22" i="26"/>
  <c r="M22" i="26" s="1"/>
  <c r="K18" i="26"/>
  <c r="M18" i="26" s="1"/>
  <c r="K14" i="26"/>
  <c r="M14" i="26" s="1"/>
  <c r="AC11" i="26"/>
  <c r="AE11" i="26" s="1"/>
  <c r="K15" i="26"/>
  <c r="M15" i="26" s="1"/>
  <c r="K23" i="26"/>
  <c r="M23" i="26" s="1"/>
  <c r="K32" i="26"/>
  <c r="M32" i="26" s="1"/>
  <c r="W10" i="26"/>
  <c r="Y10" i="26" s="1"/>
  <c r="W34" i="26"/>
  <c r="Y34" i="26" s="1"/>
  <c r="H60" i="24" l="1"/>
  <c r="I60" i="24" s="1"/>
  <c r="H67" i="24"/>
  <c r="H63" i="24"/>
  <c r="H69" i="24"/>
  <c r="H65" i="24"/>
  <c r="H47" i="24"/>
  <c r="I47" i="24" s="1"/>
  <c r="H45" i="24"/>
  <c r="I45" i="24" s="1"/>
  <c r="H31" i="24"/>
  <c r="I31" i="24" s="1"/>
  <c r="H53" i="24"/>
  <c r="H46" i="24"/>
  <c r="I46" i="24" s="1"/>
  <c r="H30" i="24"/>
  <c r="I30" i="24" s="1"/>
  <c r="H48" i="26"/>
  <c r="H49" i="26" s="1"/>
  <c r="I49" i="26" s="1"/>
  <c r="I47" i="26"/>
  <c r="H25" i="24"/>
  <c r="I51" i="24"/>
  <c r="Y41" i="26"/>
  <c r="K41" i="26"/>
  <c r="M10" i="26"/>
  <c r="H57" i="24" s="1"/>
  <c r="I57" i="24" s="1"/>
  <c r="W41" i="26"/>
  <c r="H50" i="26" l="1"/>
  <c r="H51" i="26" s="1"/>
  <c r="H32" i="24"/>
  <c r="I32" i="24" s="1"/>
  <c r="H54" i="24"/>
  <c r="I54" i="24" s="1"/>
  <c r="H52" i="24"/>
  <c r="I52" i="24" s="1"/>
  <c r="H34" i="24"/>
  <c r="I34" i="24" s="1"/>
  <c r="I48" i="26"/>
  <c r="H48" i="24"/>
  <c r="I48" i="24" s="1"/>
  <c r="H50" i="24"/>
  <c r="I50" i="24" s="1"/>
  <c r="M41" i="26"/>
  <c r="I53" i="24"/>
  <c r="I25" i="24" l="1"/>
  <c r="H26" i="24"/>
  <c r="I26" i="24" s="1"/>
  <c r="I50" i="26"/>
  <c r="H52" i="26"/>
  <c r="I51" i="26"/>
  <c r="I52" i="26" l="1"/>
  <c r="H53" i="26"/>
  <c r="I53" i="26" l="1"/>
  <c r="H54" i="26"/>
  <c r="I54" i="26" l="1"/>
  <c r="H55" i="26"/>
  <c r="H56" i="26" l="1"/>
  <c r="I55" i="26"/>
  <c r="H57" i="26" l="1"/>
  <c r="I56" i="26"/>
  <c r="I57" i="26" l="1"/>
  <c r="H58" i="26"/>
  <c r="H59" i="26" l="1"/>
  <c r="I58" i="26"/>
  <c r="I59" i="26" l="1"/>
  <c r="H60" i="26"/>
  <c r="I60" i="26" s="1"/>
  <c r="H12" i="26" l="1"/>
  <c r="D12" i="26" s="1"/>
  <c r="H18" i="26"/>
  <c r="D18" i="26" s="1"/>
  <c r="H14" i="26"/>
  <c r="D14" i="26" s="1"/>
  <c r="H20" i="26"/>
  <c r="D20" i="26" s="1"/>
  <c r="H16" i="26"/>
  <c r="D16" i="26" s="1"/>
  <c r="H24" i="26"/>
  <c r="D24" i="26" s="1"/>
  <c r="H22" i="26"/>
  <c r="D22" i="26" s="1"/>
  <c r="H26" i="26"/>
  <c r="D26" i="26" s="1"/>
  <c r="H34" i="26"/>
  <c r="D34" i="26" s="1"/>
  <c r="H38" i="26"/>
  <c r="D38" i="26" s="1"/>
  <c r="F38" i="26" s="1"/>
  <c r="H11" i="26"/>
  <c r="D11" i="26" s="1"/>
  <c r="H37" i="26"/>
  <c r="D37" i="26" s="1"/>
  <c r="H23" i="26"/>
  <c r="D23" i="26" s="1"/>
  <c r="H35" i="26"/>
  <c r="D35" i="26" s="1"/>
  <c r="H15" i="26"/>
  <c r="D15" i="26" s="1"/>
  <c r="H28" i="26"/>
  <c r="D28" i="26" s="1"/>
  <c r="H39" i="26"/>
  <c r="D39" i="26" s="1"/>
  <c r="F39" i="26" s="1"/>
  <c r="H19" i="26"/>
  <c r="D19" i="26" s="1"/>
  <c r="H13" i="26"/>
  <c r="D13" i="26" s="1"/>
  <c r="H30" i="26"/>
  <c r="D30" i="26" s="1"/>
  <c r="H27" i="26"/>
  <c r="D27" i="26" s="1"/>
  <c r="AC28" i="26" s="1"/>
  <c r="AE28" i="26" s="1"/>
  <c r="H32" i="26"/>
  <c r="D32" i="26" s="1"/>
  <c r="H25" i="26"/>
  <c r="D25" i="26" s="1"/>
  <c r="H29" i="26"/>
  <c r="D29" i="26" s="1"/>
  <c r="H33" i="26"/>
  <c r="D33" i="26" s="1"/>
  <c r="H21" i="26"/>
  <c r="D21" i="26" s="1"/>
  <c r="H36" i="26"/>
  <c r="D36" i="26" s="1"/>
  <c r="H31" i="26"/>
  <c r="D31" i="26" s="1"/>
  <c r="H17" i="26"/>
  <c r="D17" i="26" s="1"/>
  <c r="F31" i="26" l="1"/>
  <c r="AC32" i="26"/>
  <c r="AE32" i="26" s="1"/>
  <c r="Q31" i="26"/>
  <c r="S31" i="26" s="1"/>
  <c r="F29" i="26"/>
  <c r="Q29" i="26"/>
  <c r="S29" i="26" s="1"/>
  <c r="AC30" i="26"/>
  <c r="AE30" i="26" s="1"/>
  <c r="F32" i="26"/>
  <c r="Q32" i="26"/>
  <c r="S32" i="26" s="1"/>
  <c r="AC33" i="26"/>
  <c r="AE33" i="26" s="1"/>
  <c r="F30" i="26"/>
  <c r="AC31" i="26"/>
  <c r="AE31" i="26" s="1"/>
  <c r="Q30" i="26"/>
  <c r="S30" i="26" s="1"/>
  <c r="F28" i="26"/>
  <c r="AC29" i="26"/>
  <c r="AE29" i="26" s="1"/>
  <c r="Q28" i="26"/>
  <c r="S28" i="26" s="1"/>
  <c r="F35" i="26"/>
  <c r="Q35" i="26"/>
  <c r="S35" i="26" s="1"/>
  <c r="AC36" i="26"/>
  <c r="AE36" i="26" s="1"/>
  <c r="F37" i="26"/>
  <c r="Q37" i="26"/>
  <c r="S37" i="26" s="1"/>
  <c r="F36" i="26"/>
  <c r="Q36" i="26"/>
  <c r="S36" i="26" s="1"/>
  <c r="AC37" i="26"/>
  <c r="AE37" i="26" s="1"/>
  <c r="F33" i="26"/>
  <c r="AC34" i="26"/>
  <c r="AE34" i="26" s="1"/>
  <c r="Q33" i="26"/>
  <c r="S33" i="26" s="1"/>
  <c r="F34" i="26"/>
  <c r="Q34" i="26"/>
  <c r="S34" i="26" s="1"/>
  <c r="AC35" i="26"/>
  <c r="AE35" i="26" s="1"/>
  <c r="F22" i="26"/>
  <c r="AC23" i="26"/>
  <c r="AE23" i="26" s="1"/>
  <c r="Q22" i="26"/>
  <c r="S22" i="26" s="1"/>
  <c r="Q16" i="26"/>
  <c r="S16" i="26" s="1"/>
  <c r="AC17" i="26"/>
  <c r="AE17" i="26" s="1"/>
  <c r="F16" i="26"/>
  <c r="Q14" i="26"/>
  <c r="S14" i="26" s="1"/>
  <c r="AC15" i="26"/>
  <c r="AE15" i="26" s="1"/>
  <c r="F14" i="26"/>
  <c r="Q12" i="26"/>
  <c r="S12" i="26" s="1"/>
  <c r="AC13" i="26"/>
  <c r="AE13" i="26" s="1"/>
  <c r="F12" i="26"/>
  <c r="Q26" i="26"/>
  <c r="S26" i="26" s="1"/>
  <c r="AC27" i="26"/>
  <c r="AE27" i="26" s="1"/>
  <c r="F26" i="26"/>
  <c r="Q24" i="26"/>
  <c r="S24" i="26" s="1"/>
  <c r="F24" i="26"/>
  <c r="AC25" i="26"/>
  <c r="AE25" i="26" s="1"/>
  <c r="AC21" i="26"/>
  <c r="AE21" i="26" s="1"/>
  <c r="Q20" i="26"/>
  <c r="S20" i="26" s="1"/>
  <c r="F20" i="26"/>
  <c r="F18" i="26"/>
  <c r="Q18" i="26"/>
  <c r="S18" i="26" s="1"/>
  <c r="AC19" i="26"/>
  <c r="AE19" i="26" s="1"/>
  <c r="F17" i="26"/>
  <c r="Q17" i="26"/>
  <c r="S17" i="26" s="1"/>
  <c r="AC18" i="26"/>
  <c r="AE18" i="26" s="1"/>
  <c r="Q25" i="26"/>
  <c r="S25" i="26" s="1"/>
  <c r="AC26" i="26"/>
  <c r="AE26" i="26" s="1"/>
  <c r="F25" i="26"/>
  <c r="F27" i="26"/>
  <c r="Q27" i="26"/>
  <c r="S27" i="26" s="1"/>
  <c r="F13" i="26"/>
  <c r="Q13" i="26"/>
  <c r="S13" i="26" s="1"/>
  <c r="AC14" i="26"/>
  <c r="AE14" i="26" s="1"/>
  <c r="F15" i="26"/>
  <c r="AC16" i="26"/>
  <c r="AE16" i="26" s="1"/>
  <c r="Q15" i="26"/>
  <c r="S15" i="26" s="1"/>
  <c r="AC24" i="26"/>
  <c r="AE24" i="26" s="1"/>
  <c r="F23" i="26"/>
  <c r="Q23" i="26"/>
  <c r="S23" i="26" s="1"/>
  <c r="F11" i="26"/>
  <c r="Q11" i="26"/>
  <c r="AC12" i="26"/>
  <c r="D41" i="26"/>
  <c r="D42" i="26" s="1"/>
  <c r="AC22" i="26"/>
  <c r="AE22" i="26" s="1"/>
  <c r="F21" i="26"/>
  <c r="Q21" i="26"/>
  <c r="S21" i="26" s="1"/>
  <c r="F19" i="26"/>
  <c r="Q19" i="26"/>
  <c r="S19" i="26" s="1"/>
  <c r="AC20" i="26"/>
  <c r="AE20" i="26" s="1"/>
  <c r="H23" i="24" l="1"/>
  <c r="S11" i="26"/>
  <c r="S41" i="26" s="1"/>
  <c r="H56" i="24" s="1"/>
  <c r="I56" i="24" s="1"/>
  <c r="Q41" i="26"/>
  <c r="AE12" i="26"/>
  <c r="AE41" i="26" s="1"/>
  <c r="AC41" i="26"/>
  <c r="F41" i="26"/>
  <c r="F42" i="26" s="1"/>
  <c r="H33" i="24" l="1"/>
  <c r="I33" i="24" s="1"/>
  <c r="H49" i="24"/>
  <c r="I49" i="24" s="1"/>
  <c r="H24" i="24"/>
  <c r="I24" i="24" s="1"/>
  <c r="H70" i="24"/>
  <c r="I70" i="24" s="1"/>
  <c r="H66" i="24"/>
  <c r="I66" i="24" s="1"/>
  <c r="H64" i="24"/>
  <c r="I64" i="24" s="1"/>
  <c r="H68" i="24"/>
  <c r="I68" i="24" s="1"/>
  <c r="H36" i="24"/>
  <c r="I36" i="24" s="1"/>
  <c r="H59" i="24"/>
  <c r="I59" i="24" s="1"/>
  <c r="H37" i="24"/>
  <c r="I37" i="24" s="1"/>
  <c r="H58" i="24"/>
  <c r="I58" i="24" s="1"/>
  <c r="H35" i="24"/>
  <c r="I35" i="24" s="1"/>
  <c r="H55" i="24"/>
  <c r="I55" i="24" s="1"/>
  <c r="H38" i="24"/>
  <c r="I38" i="24" s="1"/>
  <c r="I40" i="24" l="1"/>
  <c r="F23" i="24" l="1"/>
  <c r="I23" i="24" s="1"/>
  <c r="I27" i="24" s="1"/>
  <c r="I79" i="24" l="1"/>
  <c r="I81" i="24" s="1"/>
  <c r="I82" i="24" s="1"/>
  <c r="F67" i="24"/>
  <c r="I67" i="24" s="1"/>
  <c r="F65" i="24"/>
  <c r="I65" i="24" s="1"/>
  <c r="F69" i="24"/>
  <c r="I69" i="24" s="1"/>
  <c r="F63" i="24"/>
  <c r="I63" i="24" s="1"/>
  <c r="I72" i="24" l="1"/>
  <c r="I74" i="24" s="1"/>
  <c r="I76" i="24" s="1"/>
  <c r="I42" i="24"/>
  <c r="I8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sol</author>
    <author>khm</author>
    <author>Søren Ugilt Larsen</author>
    <author>Karen Jørgensen</author>
    <author>Kathrine Hauge Madsen</author>
  </authors>
  <commentList>
    <comment ref="E11" authorId="0" shapeId="0" xr:uid="{00000000-0006-0000-0000-000001000000}">
      <text>
        <r>
          <rPr>
            <b/>
            <sz val="9"/>
            <color indexed="81"/>
            <rFont val="Tahoma"/>
            <family val="2"/>
          </rPr>
          <t>sol:</t>
        </r>
        <r>
          <rPr>
            <sz val="9"/>
            <color indexed="81"/>
            <rFont val="Tahoma"/>
            <family val="2"/>
          </rPr>
          <t xml:space="preserve">
Selvom der i beregningerne ikke regnes med noget udbytte i år 1, er det stadig relevant at sætte udbyttet i år 2 og 3 lavere end i de efterfølgende år.</t>
        </r>
      </text>
    </comment>
    <comment ref="E13" authorId="1" shapeId="0" xr:uid="{00000000-0006-0000-0000-000002000000}">
      <text>
        <r>
          <rPr>
            <b/>
            <sz val="8"/>
            <color indexed="81"/>
            <rFont val="Tahoma"/>
            <family val="2"/>
          </rPr>
          <t>sol:</t>
        </r>
        <r>
          <rPr>
            <sz val="8"/>
            <color indexed="81"/>
            <rFont val="Tahoma"/>
            <family val="2"/>
          </rPr>
          <t xml:space="preserve">
Typisk 25-30 kr./m3 + ca. 8-10 kr./m3 for udkørsel.</t>
        </r>
      </text>
    </comment>
    <comment ref="E15" authorId="1" shapeId="0" xr:uid="{00000000-0006-0000-0000-000003000000}">
      <text>
        <r>
          <rPr>
            <b/>
            <sz val="8"/>
            <color indexed="81"/>
            <rFont val="Tahoma"/>
            <family val="2"/>
          </rPr>
          <t>sol:</t>
        </r>
        <r>
          <rPr>
            <sz val="8"/>
            <color indexed="81"/>
            <rFont val="Tahoma"/>
            <family val="2"/>
          </rPr>
          <t xml:space="preserve">
Transportomkostningerne afhænger af afstanden. Ud fra priser fra 4 vognmænd er der fundet gennemsnitlige priser (inkl. læsning som typisk udgør ca. 3 kr./m3): Startpris på 17 kr./m3 plus 0,2 kr./m3/km. </t>
        </r>
      </text>
    </comment>
    <comment ref="E16" authorId="1" shapeId="0" xr:uid="{00000000-0006-0000-0000-000004000000}">
      <text>
        <r>
          <rPr>
            <b/>
            <sz val="8"/>
            <color indexed="81"/>
            <rFont val="Tahoma"/>
            <family val="2"/>
          </rPr>
          <t>sol:</t>
        </r>
        <r>
          <rPr>
            <sz val="8"/>
            <color indexed="81"/>
            <rFont val="Tahoma"/>
            <family val="2"/>
          </rPr>
          <t xml:space="preserve">
Typisk i intervallet 22-35 kr./m3</t>
        </r>
      </text>
    </comment>
    <comment ref="E17" authorId="1" shapeId="0" xr:uid="{00000000-0006-0000-0000-000005000000}">
      <text>
        <r>
          <rPr>
            <b/>
            <sz val="8"/>
            <color indexed="81"/>
            <rFont val="Tahoma"/>
            <family val="2"/>
          </rPr>
          <t>sol:</t>
        </r>
        <r>
          <rPr>
            <sz val="8"/>
            <color indexed="81"/>
            <rFont val="Tahoma"/>
            <family val="2"/>
          </rPr>
          <t xml:space="preserve">
Rumvægten af flis afhænger bl.a. af snitlængden (jf. rapporten "Helårsforsyning af pil til kraftvarme", 1997, s.95). 
Som tommelfingerregel kan der regnes med </t>
        </r>
        <r>
          <rPr>
            <u/>
            <sz val="8"/>
            <color indexed="81"/>
            <rFont val="Tahoma"/>
            <family val="2"/>
          </rPr>
          <t>ca. 0,145 tons tørstof/m3</t>
        </r>
        <r>
          <rPr>
            <sz val="8"/>
            <color indexed="81"/>
            <rFont val="Tahoma"/>
            <family val="2"/>
          </rPr>
          <t>. En anden kilde angiver dog 125 kg tørstof/m3 (Ebbe Leer, Plantekongressen 2007), mens der i praksis også er målt højere rumvægt end 145 kg (over 180 kg).
Vandindholdet antages her kun at have begrænset betydning for, hvor meget tørstof der er pr. rummeter, selvom der nok ses en tendens til større tørstofmængde pr. rummeter ved lavt vandindhold.</t>
        </r>
      </text>
    </comment>
    <comment ref="F23" authorId="0" shapeId="0" xr:uid="{00000000-0006-0000-0000-000006000000}">
      <text>
        <r>
          <rPr>
            <b/>
            <sz val="9"/>
            <color indexed="81"/>
            <rFont val="Tahoma"/>
            <family val="2"/>
          </rPr>
          <t>sol:</t>
        </r>
        <r>
          <rPr>
            <sz val="9"/>
            <color indexed="81"/>
            <rFont val="Tahoma"/>
            <family val="2"/>
          </rPr>
          <t xml:space="preserve">
Her fratrækkes et års høst, da der i år 1 kun pudses af for at fremme skuddannelsen.</t>
        </r>
      </text>
    </comment>
    <comment ref="G25" authorId="2" shapeId="0" xr:uid="{00000000-0006-0000-0000-000007000000}">
      <text>
        <r>
          <rPr>
            <b/>
            <sz val="9"/>
            <color indexed="81"/>
            <rFont val="Tahoma"/>
            <family val="2"/>
          </rPr>
          <t>krj</t>
        </r>
        <r>
          <rPr>
            <sz val="9"/>
            <color indexed="81"/>
            <rFont val="Tahoma"/>
            <family val="2"/>
          </rPr>
          <t xml:space="preserve">
Ingen etableringstilskud i 2022</t>
        </r>
      </text>
    </comment>
    <comment ref="G26" authorId="3" shapeId="0" xr:uid="{BEC701BD-BED2-4A04-825A-44C5752291ED}">
      <text>
        <r>
          <rPr>
            <b/>
            <sz val="9"/>
            <color indexed="81"/>
            <rFont val="Tahoma"/>
            <family val="2"/>
          </rPr>
          <t>Karen Jørgensen:</t>
        </r>
        <r>
          <rPr>
            <sz val="9"/>
            <color indexed="81"/>
            <rFont val="Tahoma"/>
            <family val="2"/>
          </rPr>
          <t xml:space="preserve">
Forventede betaling i 2023.</t>
        </r>
      </text>
    </comment>
    <comment ref="C33" authorId="0" shapeId="0" xr:uid="{00000000-0006-0000-0000-000008000000}">
      <text>
        <r>
          <rPr>
            <b/>
            <sz val="9"/>
            <color indexed="81"/>
            <rFont val="Tahoma"/>
            <family val="2"/>
          </rPr>
          <t>sol:</t>
        </r>
        <r>
          <rPr>
            <sz val="9"/>
            <color indexed="81"/>
            <rFont val="Tahoma"/>
            <family val="2"/>
          </rPr>
          <t xml:space="preserve">
I foråret efter høst kan det evt. være relevant at bekæmpe ukrudt med glyphosat udbragt før pilens knopbrydning.</t>
        </r>
      </text>
    </comment>
    <comment ref="D34" authorId="0" shapeId="0" xr:uid="{00000000-0006-0000-0000-000009000000}">
      <text>
        <r>
          <rPr>
            <b/>
            <sz val="9"/>
            <color indexed="81"/>
            <rFont val="Tahoma"/>
            <family val="2"/>
          </rPr>
          <t>sol:</t>
        </r>
        <r>
          <rPr>
            <sz val="9"/>
            <color indexed="81"/>
            <rFont val="Tahoma"/>
            <family val="2"/>
          </rPr>
          <t xml:space="preserve">
For at minimere udvaskningen bør der først udbringes kvælstof året efter plantning. Derfor skrives der 1 her.</t>
        </r>
      </text>
    </comment>
    <comment ref="F34" authorId="0" shapeId="0" xr:uid="{00000000-0006-0000-0000-00000A000000}">
      <text>
        <r>
          <rPr>
            <b/>
            <sz val="9"/>
            <color indexed="81"/>
            <rFont val="Tahoma"/>
            <family val="2"/>
          </rPr>
          <t>sol:</t>
        </r>
        <r>
          <rPr>
            <sz val="9"/>
            <color indexed="81"/>
            <rFont val="Tahoma"/>
            <family val="2"/>
          </rPr>
          <t xml:space="preserve">
Gødningsnormen er pt. 120 kg N/ha/år.</t>
        </r>
      </text>
    </comment>
    <comment ref="G34" authorId="0" shapeId="0" xr:uid="{00000000-0006-0000-0000-00000B000000}">
      <text>
        <r>
          <rPr>
            <b/>
            <sz val="8"/>
            <color indexed="81"/>
            <rFont val="Tahoma"/>
            <family val="2"/>
          </rPr>
          <t>krj</t>
        </r>
        <r>
          <rPr>
            <sz val="8"/>
            <color indexed="81"/>
            <rFont val="Tahoma"/>
            <family val="2"/>
          </rPr>
          <t xml:space="preserve">
Forventede priser i foråret 2023 ligger i intervallet 22-27 kr/kg N</t>
        </r>
      </text>
    </comment>
    <comment ref="C35" authorId="0" shapeId="0" xr:uid="{00000000-0006-0000-0000-00000C000000}">
      <text>
        <r>
          <rPr>
            <b/>
            <sz val="9"/>
            <color indexed="81"/>
            <rFont val="Tahoma"/>
            <family val="2"/>
          </rPr>
          <t>sol:</t>
        </r>
        <r>
          <rPr>
            <sz val="9"/>
            <color indexed="81"/>
            <rFont val="Tahoma"/>
            <family val="2"/>
          </rPr>
          <t xml:space="preserve">
Ved tilførsel af store mængder gødning kan det være relevant at opdele gødskning, så der gødskes både lige efter høst og året efter høst.</t>
        </r>
      </text>
    </comment>
    <comment ref="F35" authorId="0" shapeId="0" xr:uid="{00000000-0006-0000-0000-00000D000000}">
      <text>
        <r>
          <rPr>
            <b/>
            <sz val="9"/>
            <color indexed="81"/>
            <rFont val="Tahoma"/>
            <family val="2"/>
          </rPr>
          <t>sol:</t>
        </r>
        <r>
          <rPr>
            <sz val="9"/>
            <color indexed="81"/>
            <rFont val="Tahoma"/>
            <family val="2"/>
          </rPr>
          <t xml:space="preserve">
Gødningsnormen er pt. 120 kg N/ha/år.</t>
        </r>
      </text>
    </comment>
    <comment ref="C36" authorId="0" shapeId="0" xr:uid="{00000000-0006-0000-0000-00000F000000}">
      <text>
        <r>
          <rPr>
            <b/>
            <sz val="9"/>
            <color indexed="81"/>
            <rFont val="Tahoma"/>
            <family val="2"/>
          </rPr>
          <t xml:space="preserve">sol:
</t>
        </r>
        <r>
          <rPr>
            <sz val="9"/>
            <color indexed="81"/>
            <rFont val="Tahoma"/>
            <family val="2"/>
          </rPr>
          <t>Ved tilførsel af store mængder gødning kan det være relevant at opdele gødskning, så der gødskes både lige efter høst og året efter høst.</t>
        </r>
      </text>
    </comment>
    <comment ref="F36" authorId="0" shapeId="0" xr:uid="{00000000-0006-0000-0000-000010000000}">
      <text>
        <r>
          <rPr>
            <b/>
            <sz val="9"/>
            <color indexed="81"/>
            <rFont val="Tahoma"/>
            <family val="2"/>
          </rPr>
          <t>sol:</t>
        </r>
        <r>
          <rPr>
            <sz val="9"/>
            <color indexed="81"/>
            <rFont val="Tahoma"/>
            <family val="2"/>
          </rPr>
          <t xml:space="preserve">
Gødningsnormen er pt. 120 kg N/ha/år.</t>
        </r>
      </text>
    </comment>
    <comment ref="G37" authorId="0" shapeId="0" xr:uid="{00000000-0006-0000-0000-000012000000}">
      <text>
        <r>
          <rPr>
            <b/>
            <sz val="8"/>
            <color indexed="81"/>
            <rFont val="Tahoma"/>
            <family val="2"/>
          </rPr>
          <t>krj</t>
        </r>
        <r>
          <rPr>
            <sz val="8"/>
            <color indexed="81"/>
            <rFont val="Tahoma"/>
            <family val="2"/>
          </rPr>
          <t xml:space="preserve">
Forventede priser i foråret 2023
 ligger i intervallet 20-30 kr/kg P</t>
        </r>
      </text>
    </comment>
    <comment ref="C49" authorId="0" shapeId="0" xr:uid="{00000000-0006-0000-0000-000014000000}">
      <text>
        <r>
          <rPr>
            <b/>
            <sz val="9"/>
            <color indexed="81"/>
            <rFont val="Tahoma"/>
            <family val="2"/>
          </rPr>
          <t>sol:</t>
        </r>
        <r>
          <rPr>
            <sz val="9"/>
            <color indexed="81"/>
            <rFont val="Tahoma"/>
            <family val="2"/>
          </rPr>
          <t xml:space="preserve">
I foråret efter høst kan det evt. være relevant at bekæmpe ukrudt med glyphosat udbragt før pilens knopbrydning.</t>
        </r>
      </text>
    </comment>
    <comment ref="G50" authorId="1" shapeId="0" xr:uid="{00000000-0006-0000-0000-000015000000}">
      <text>
        <r>
          <rPr>
            <b/>
            <sz val="8"/>
            <color indexed="81"/>
            <rFont val="Tahoma"/>
            <family val="2"/>
          </rPr>
          <t>krj</t>
        </r>
        <r>
          <rPr>
            <sz val="8"/>
            <color indexed="81"/>
            <rFont val="Tahoma"/>
            <family val="2"/>
          </rPr>
          <t xml:space="preserve">
Pris for brakpudsning 2022</t>
        </r>
      </text>
    </comment>
    <comment ref="G56" authorId="2" shapeId="0" xr:uid="{00000000-0006-0000-0000-000016000000}">
      <text>
        <r>
          <rPr>
            <b/>
            <sz val="8"/>
            <color indexed="81"/>
            <rFont val="Tahoma"/>
            <family val="2"/>
          </rPr>
          <t>krj</t>
        </r>
        <r>
          <rPr>
            <sz val="8"/>
            <color indexed="81"/>
            <rFont val="Tahoma"/>
            <family val="2"/>
          </rPr>
          <t xml:space="preserve">
Skærmet sprøjtning koster ca. 700 kr./ha inkl. glyhosat, dvs. ca. 500 kr./ha for selve sprøjtearbejdet.</t>
        </r>
      </text>
    </comment>
    <comment ref="C58" authorId="0" shapeId="0" xr:uid="{00000000-0006-0000-0000-000017000000}">
      <text>
        <r>
          <rPr>
            <b/>
            <sz val="9"/>
            <color indexed="81"/>
            <rFont val="Tahoma"/>
            <family val="2"/>
          </rPr>
          <t>sol:</t>
        </r>
        <r>
          <rPr>
            <sz val="9"/>
            <color indexed="81"/>
            <rFont val="Tahoma"/>
            <family val="2"/>
          </rPr>
          <t xml:space="preserve">
Ved tilførsel af store mængder gødning kan det være relevant at opdele gødskning, så der gødskes både lige efter høst og året efter høst.</t>
        </r>
      </text>
    </comment>
    <comment ref="C59" authorId="0" shapeId="0" xr:uid="{00000000-0006-0000-0000-000018000000}">
      <text>
        <r>
          <rPr>
            <b/>
            <sz val="9"/>
            <color indexed="81"/>
            <rFont val="Tahoma"/>
            <family val="2"/>
          </rPr>
          <t>sol:</t>
        </r>
        <r>
          <rPr>
            <sz val="9"/>
            <color indexed="81"/>
            <rFont val="Tahoma"/>
            <family val="2"/>
          </rPr>
          <t xml:space="preserve">
Ved tilførsel af store mængder gødning kan det være relevant at opdele gødskning, så der gødskes både lige efter høst og året efter høst.</t>
        </r>
      </text>
    </comment>
    <comment ref="G63" authorId="0" shapeId="0" xr:uid="{00000000-0006-0000-0000-000019000000}">
      <text>
        <r>
          <rPr>
            <b/>
            <sz val="8"/>
            <color indexed="81"/>
            <rFont val="Tahoma"/>
            <family val="2"/>
          </rPr>
          <t>sol:</t>
        </r>
        <r>
          <rPr>
            <sz val="8"/>
            <color indexed="81"/>
            <rFont val="Tahoma"/>
            <family val="2"/>
          </rPr>
          <t xml:space="preserve">
Rumvægt antages at være 0,145 tons TS/m3.
Høstomkostninger er typisk 18-25 kr./m3. 
Frakørsel koster typisk 6 kr./m3.
Frakørsel er her indregnet i posten for høstomkostning.</t>
        </r>
      </text>
    </comment>
    <comment ref="G64" authorId="0" shapeId="0" xr:uid="{00000000-0006-0000-0000-00001A000000}">
      <text>
        <r>
          <rPr>
            <b/>
            <sz val="8"/>
            <color indexed="81"/>
            <rFont val="Tahoma"/>
            <family val="2"/>
          </rPr>
          <t>sol:</t>
        </r>
        <r>
          <rPr>
            <sz val="8"/>
            <color indexed="81"/>
            <rFont val="Tahoma"/>
            <family val="2"/>
          </rPr>
          <t xml:space="preserve">
Rumvægt antages at være 0,145 tons TS/m3.
Høstomkostninger er typisk 18-25  kr./m3. 
Frakørsel koster typisk 6 kr./m3.
Frakørsel er her indregnet i posten for høstomkostning.</t>
        </r>
      </text>
    </comment>
    <comment ref="G65" authorId="0" shapeId="0" xr:uid="{00000000-0006-0000-0000-00001B000000}">
      <text>
        <r>
          <rPr>
            <b/>
            <sz val="8"/>
            <color indexed="81"/>
            <rFont val="Tahoma"/>
            <family val="2"/>
          </rPr>
          <t>krj</t>
        </r>
        <r>
          <rPr>
            <sz val="8"/>
            <color indexed="81"/>
            <rFont val="Tahoma"/>
            <family val="2"/>
          </rPr>
          <t xml:space="preserve">
Hvis der er en separat omkostning til transport fra høster til fast vej, kan denne indsættes her.
Frakørselsvogn koster typisk 900 kr./time.</t>
        </r>
      </text>
    </comment>
    <comment ref="G66" authorId="0" shapeId="0" xr:uid="{00000000-0006-0000-0000-00001C000000}">
      <text>
        <r>
          <rPr>
            <b/>
            <sz val="8"/>
            <color indexed="81"/>
            <rFont val="Tahoma"/>
            <family val="2"/>
          </rPr>
          <t>krj</t>
        </r>
        <r>
          <rPr>
            <sz val="8"/>
            <color indexed="81"/>
            <rFont val="Tahoma"/>
            <family val="2"/>
          </rPr>
          <t xml:space="preserve">
Hvis der er en separat omkostning til transport fra høster til fast vej, kan denne indsættes her.
Frakørselsvogn koster typisk 900 kr./time.</t>
        </r>
      </text>
    </comment>
    <comment ref="G67" authorId="4" shapeId="0" xr:uid="{00000000-0006-0000-0000-00001D000000}">
      <text>
        <r>
          <rPr>
            <b/>
            <sz val="8"/>
            <color indexed="81"/>
            <rFont val="Tahoma"/>
            <family val="2"/>
          </rPr>
          <t>SOL:</t>
        </r>
        <r>
          <rPr>
            <sz val="8"/>
            <color indexed="81"/>
            <rFont val="Tahoma"/>
            <family val="2"/>
          </rPr>
          <t xml:space="preserve">
Rumvægt antages at være 0,145 tons TS/m3.
</t>
        </r>
      </text>
    </comment>
    <comment ref="G68" authorId="4" shapeId="0" xr:uid="{00000000-0006-0000-0000-00001E000000}">
      <text>
        <r>
          <rPr>
            <b/>
            <sz val="8"/>
            <color indexed="81"/>
            <rFont val="Tahoma"/>
            <family val="2"/>
          </rPr>
          <t>SOL:</t>
        </r>
        <r>
          <rPr>
            <sz val="8"/>
            <color indexed="81"/>
            <rFont val="Tahoma"/>
            <family val="2"/>
          </rPr>
          <t xml:space="preserve">
Rumvægt antages at være 0,145 tons TS/m3.
</t>
        </r>
      </text>
    </comment>
    <comment ref="G69" authorId="4" shapeId="0" xr:uid="{00000000-0006-0000-0000-00001F000000}">
      <text>
        <r>
          <rPr>
            <b/>
            <sz val="8"/>
            <color indexed="81"/>
            <rFont val="Tahoma"/>
            <family val="2"/>
          </rPr>
          <t>SOL:</t>
        </r>
        <r>
          <rPr>
            <sz val="8"/>
            <color indexed="81"/>
            <rFont val="Tahoma"/>
            <family val="2"/>
          </rPr>
          <t xml:space="preserve">
Rumvægt antages at være 0,145 tons TS/m3.
</t>
        </r>
      </text>
    </comment>
    <comment ref="G70" authorId="4" shapeId="0" xr:uid="{00000000-0006-0000-0000-000020000000}">
      <text>
        <r>
          <rPr>
            <b/>
            <sz val="8"/>
            <color indexed="81"/>
            <rFont val="Tahoma"/>
            <family val="2"/>
          </rPr>
          <t>SOL:</t>
        </r>
        <r>
          <rPr>
            <sz val="8"/>
            <color indexed="81"/>
            <rFont val="Tahoma"/>
            <family val="2"/>
          </rPr>
          <t xml:space="preserve">
Rumvægt antages at være 0,145 tons TS/m3.
</t>
        </r>
      </text>
    </comment>
    <comment ref="I79" authorId="0" shapeId="0" xr:uid="{00000000-0006-0000-0000-000021000000}">
      <text>
        <r>
          <rPr>
            <b/>
            <sz val="8"/>
            <color indexed="81"/>
            <rFont val="Tahoma"/>
            <family val="2"/>
          </rPr>
          <t>sol:</t>
        </r>
        <r>
          <rPr>
            <sz val="8"/>
            <color indexed="81"/>
            <rFont val="Tahoma"/>
            <family val="2"/>
          </rPr>
          <t xml:space="preserve">
Bemærk at dette gennemsnitlige udbytte er lavere end hvad der kan forventes ud fra de indtastede værdier i E11 og E12. Dette skyldes, at der ikke regnes med udbytte i år 1, hvor marken pudses af.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sol</author>
    <author>Jakob Vesterlund Olsen</author>
  </authors>
  <commentList>
    <comment ref="R7" authorId="0" shapeId="0" xr:uid="{00000000-0006-0000-0100-000001000000}">
      <text>
        <r>
          <rPr>
            <b/>
            <sz val="9"/>
            <color indexed="81"/>
            <rFont val="Tahoma"/>
            <family val="2"/>
          </rPr>
          <t>sol:</t>
        </r>
        <r>
          <rPr>
            <sz val="9"/>
            <color indexed="81"/>
            <rFont val="Tahoma"/>
            <family val="2"/>
          </rPr>
          <t xml:space="preserve">
Denne var tidligere sat til hændelse året efter høst. Men da gødningen udbringes efter høst, bør udgiften ligge i samme år som høsten. (Ændret 1/7-08)</t>
        </r>
      </text>
    </comment>
    <comment ref="AB7" authorId="0" shapeId="0" xr:uid="{00000000-0006-0000-0100-000002000000}">
      <text>
        <r>
          <rPr>
            <b/>
            <sz val="9"/>
            <color indexed="81"/>
            <rFont val="Tahoma"/>
            <family val="2"/>
          </rPr>
          <t>sol:</t>
        </r>
        <r>
          <rPr>
            <sz val="9"/>
            <color indexed="81"/>
            <rFont val="Tahoma"/>
            <family val="2"/>
          </rPr>
          <t xml:space="preserve">
Disse kolonner er tilføjet for at kunne tage højde for, at gødningen evt. tilføres både i høståret og året efter høst.</t>
        </r>
      </text>
    </comment>
    <comment ref="F9" authorId="1" shapeId="0" xr:uid="{00000000-0006-0000-0100-000003000000}">
      <text>
        <r>
          <rPr>
            <b/>
            <sz val="8"/>
            <color indexed="81"/>
            <rFont val="Tahoma"/>
            <family val="2"/>
          </rPr>
          <t>Jakob Vesterlund Olsen:</t>
        </r>
        <r>
          <rPr>
            <sz val="8"/>
            <color indexed="81"/>
            <rFont val="Tahoma"/>
            <family val="2"/>
          </rPr>
          <t xml:space="preserve">
Nutidsværdien fundet med den nominelle rente, da omkostningerne forventes at være i løbende priser, dvs. de stiger ikke med inflationen. Realrenten er brugt til annuisering, da faste priser er det som kan sammenlignes med et-årige afgrøder.</t>
        </r>
      </text>
    </comment>
    <comment ref="M9" authorId="1" shapeId="0" xr:uid="{00000000-0006-0000-0100-000004000000}">
      <text>
        <r>
          <rPr>
            <b/>
            <sz val="8"/>
            <color indexed="81"/>
            <rFont val="Tahoma"/>
            <family val="2"/>
          </rPr>
          <t>Jakob Vesterlund Olsen:</t>
        </r>
        <r>
          <rPr>
            <sz val="8"/>
            <color indexed="81"/>
            <rFont val="Tahoma"/>
            <family val="2"/>
          </rPr>
          <t xml:space="preserve">
Nutidsværdien fundet med realrenten
Da omkostningerne forventes at være i faste priser, dvs. de stiger med inflationen. Realrenten er også brugt til annuisering, da faste priser er det som kan sammenlignes med et-årige afgrøder.</t>
        </r>
      </text>
    </comment>
    <comment ref="S9" authorId="1" shapeId="0" xr:uid="{00000000-0006-0000-0100-000005000000}">
      <text>
        <r>
          <rPr>
            <b/>
            <sz val="8"/>
            <color indexed="81"/>
            <rFont val="Tahoma"/>
            <family val="2"/>
          </rPr>
          <t>Jakob Vesterlund Olsen:</t>
        </r>
        <r>
          <rPr>
            <sz val="8"/>
            <color indexed="81"/>
            <rFont val="Tahoma"/>
            <family val="2"/>
          </rPr>
          <t xml:space="preserve">
Nutidsværdien fundet med realrenten
Da omkostningerne forventes at være i faste priser, dvs. de stiger med inflationen. Realrenten er også brugt til annuisering, da faste priser er det som kan sammenlignes med et-årige afgrøder.</t>
        </r>
      </text>
    </comment>
    <comment ref="Y9" authorId="1" shapeId="0" xr:uid="{00000000-0006-0000-0100-000006000000}">
      <text>
        <r>
          <rPr>
            <b/>
            <sz val="8"/>
            <color indexed="81"/>
            <rFont val="Tahoma"/>
            <family val="2"/>
          </rPr>
          <t>Jakob Vesterlund Olsen:</t>
        </r>
        <r>
          <rPr>
            <sz val="8"/>
            <color indexed="81"/>
            <rFont val="Tahoma"/>
            <family val="2"/>
          </rPr>
          <t xml:space="preserve">
Nutidsværdien fundet med realrenten
Da omkostningerne forventes at være i faste priser, dvs. de stiger med inflationen. Realrenten er også brugt til annuisering, da faste priser er det som kan sammenlignes med et-årige afgrøder.</t>
        </r>
      </text>
    </comment>
    <comment ref="AE9" authorId="1" shapeId="0" xr:uid="{00000000-0006-0000-0100-000007000000}">
      <text>
        <r>
          <rPr>
            <b/>
            <sz val="8"/>
            <color indexed="81"/>
            <rFont val="Tahoma"/>
            <family val="2"/>
          </rPr>
          <t>Jakob Vesterlund Olsen:</t>
        </r>
        <r>
          <rPr>
            <sz val="8"/>
            <color indexed="81"/>
            <rFont val="Tahoma"/>
            <family val="2"/>
          </rPr>
          <t xml:space="preserve">
Nutidsværdien fundet med realrenten
Da omkostningerne forventes at være i faste priser, dvs. de stiger med inflationen. Realrenten er også brugt til annuisering, da faste priser er det som kan sammenlignes med et-årige afgrøder.</t>
        </r>
      </text>
    </comment>
  </commentList>
</comments>
</file>

<file path=xl/sharedStrings.xml><?xml version="1.0" encoding="utf-8"?>
<sst xmlns="http://schemas.openxmlformats.org/spreadsheetml/2006/main" count="210" uniqueCount="111">
  <si>
    <t>Pris</t>
  </si>
  <si>
    <t>Udbytte</t>
  </si>
  <si>
    <t>kg</t>
  </si>
  <si>
    <t>Indtjening</t>
  </si>
  <si>
    <t>pr. ha</t>
  </si>
  <si>
    <t>Mængde</t>
  </si>
  <si>
    <t>Sum - udbytte</t>
  </si>
  <si>
    <t>Stykomkostninger</t>
  </si>
  <si>
    <t>Sum - stykomkostninger</t>
  </si>
  <si>
    <t>Maskin- og arbejdsomkostninger</t>
  </si>
  <si>
    <t>Sum af maskin- og arbejdsomkostninger</t>
  </si>
  <si>
    <t>beh.</t>
  </si>
  <si>
    <t>Sum af omkostninger</t>
  </si>
  <si>
    <t>ton</t>
  </si>
  <si>
    <t xml:space="preserve">Kalkulationsrente </t>
  </si>
  <si>
    <t>Faktor</t>
  </si>
  <si>
    <t>t TS</t>
  </si>
  <si>
    <t>liter</t>
  </si>
  <si>
    <t>Høst og håndtering</t>
  </si>
  <si>
    <t>stk.</t>
  </si>
  <si>
    <r>
      <t xml:space="preserve">Produktionsomkostninger, </t>
    </r>
    <r>
      <rPr>
        <sz val="10"/>
        <rFont val="Arial"/>
        <family val="2"/>
      </rPr>
      <t>kr. pr. GJ</t>
    </r>
  </si>
  <si>
    <t>år</t>
  </si>
  <si>
    <t>År</t>
  </si>
  <si>
    <t>Gns. Årlige omk.</t>
  </si>
  <si>
    <t>Levetid</t>
  </si>
  <si>
    <t>Interval mellem høst</t>
  </si>
  <si>
    <t>kr. pr. GJ</t>
  </si>
  <si>
    <t>Udbytte, 1. høst</t>
  </si>
  <si>
    <t>Udbytte, resterende høstår</t>
  </si>
  <si>
    <t>Tidsperiode</t>
  </si>
  <si>
    <t>Rente</t>
  </si>
  <si>
    <t>Første høst sker efter</t>
  </si>
  <si>
    <t>Hændelse</t>
  </si>
  <si>
    <t>Sum</t>
  </si>
  <si>
    <t>Høstår</t>
  </si>
  <si>
    <t>Input</t>
  </si>
  <si>
    <t>cellekæde</t>
  </si>
  <si>
    <t>Ikke dedikeret</t>
  </si>
  <si>
    <t>Enhed</t>
  </si>
  <si>
    <t>Biomasse</t>
  </si>
  <si>
    <r>
      <t xml:space="preserve">Energiproduktion, </t>
    </r>
    <r>
      <rPr>
        <sz val="10"/>
        <rFont val="Arial"/>
        <family val="2"/>
      </rPr>
      <t>GJ pr. ha pr. år</t>
    </r>
  </si>
  <si>
    <t>kr.</t>
  </si>
  <si>
    <t>GJ</t>
  </si>
  <si>
    <t>Sprøjtning/gødningsspredning</t>
  </si>
  <si>
    <t>Næringsstoffer</t>
  </si>
  <si>
    <t>Rydning</t>
  </si>
  <si>
    <t>Sum undtaget 1. høst</t>
  </si>
  <si>
    <t>ha</t>
  </si>
  <si>
    <t>Inflation</t>
  </si>
  <si>
    <t>Realrente</t>
  </si>
  <si>
    <t>Skatteprocent</t>
  </si>
  <si>
    <t>Vandindhold</t>
  </si>
  <si>
    <t>Fræsning mellem rækker efter høst</t>
  </si>
  <si>
    <t>Dækningsbidrag mark</t>
  </si>
  <si>
    <t>Udgift til flisning</t>
  </si>
  <si>
    <t xml:space="preserve">Afklipning af 1.årsskuddene år </t>
  </si>
  <si>
    <t>Dækningsbidrag efter maskin- og arbejdsomkostninger</t>
  </si>
  <si>
    <t>GJ pr. t</t>
  </si>
  <si>
    <t>Aftalt pris</t>
  </si>
  <si>
    <t>Kalkulationer for Pil - Helskudshøst</t>
  </si>
  <si>
    <t>Biomasse, 1. høst</t>
  </si>
  <si>
    <t>Etablering, år 0</t>
  </si>
  <si>
    <t>Pløjning, år 0</t>
  </si>
  <si>
    <t>Harvning, år 0</t>
  </si>
  <si>
    <t>Tromling, år 0</t>
  </si>
  <si>
    <t xml:space="preserve">Høst, helskud 1. høst </t>
  </si>
  <si>
    <t>Høst helskud, resterende år</t>
  </si>
  <si>
    <t>Flisning, 1. høst</t>
  </si>
  <si>
    <t>Flisning, resterende år</t>
  </si>
  <si>
    <t>Transport, 1. høst</t>
  </si>
  <si>
    <t>Transport, resterende høst</t>
  </si>
  <si>
    <t>Kvælstof, høstår</t>
  </si>
  <si>
    <t>Næringsstoffer året efter høst</t>
  </si>
  <si>
    <t>Gødningsspredning, høstår</t>
  </si>
  <si>
    <t>Gødningsspredning, året efter høst</t>
  </si>
  <si>
    <t>Kvælstof, året efter plantning</t>
  </si>
  <si>
    <t>Ukrudtsbek. strigling, år 0</t>
  </si>
  <si>
    <t>Ukrudtsbek. strigling, år 1</t>
  </si>
  <si>
    <t>Ukrudtsbek. radrensning, år 0</t>
  </si>
  <si>
    <t>Ukrudtsbek. radrensning, år 1</t>
  </si>
  <si>
    <t>Logo, år 0 og 1</t>
  </si>
  <si>
    <t>g</t>
  </si>
  <si>
    <t>Sprøjtning, år 0 og 1</t>
  </si>
  <si>
    <t>Rumvægt</t>
  </si>
  <si>
    <t>Udgift helskudshøst inkl. frakørsel i mark</t>
  </si>
  <si>
    <t>Transportafstand fra mark til aftager</t>
  </si>
  <si>
    <t>km</t>
  </si>
  <si>
    <t>Udgift til transport fra mark til aftager</t>
  </si>
  <si>
    <r>
      <t>kr. pr. m</t>
    </r>
    <r>
      <rPr>
        <vertAlign val="superscript"/>
        <sz val="10"/>
        <color theme="1"/>
        <rFont val="Arial"/>
        <family val="2"/>
      </rPr>
      <t>3</t>
    </r>
  </si>
  <si>
    <t>Frakørsel i mark, 1. høst</t>
  </si>
  <si>
    <t>Frakørsel i mark, resterende år</t>
  </si>
  <si>
    <t>ton TS</t>
  </si>
  <si>
    <t>GJ pr. t TS</t>
  </si>
  <si>
    <t>t TS pr. år</t>
  </si>
  <si>
    <r>
      <t>ton TS pr. m</t>
    </r>
    <r>
      <rPr>
        <vertAlign val="superscript"/>
        <sz val="10"/>
        <color theme="1"/>
        <rFont val="Arial"/>
        <family val="2"/>
      </rPr>
      <t>3</t>
    </r>
  </si>
  <si>
    <t>kr. pr. ton TS</t>
  </si>
  <si>
    <r>
      <t>Tørstofproduktion,</t>
    </r>
    <r>
      <rPr>
        <sz val="10"/>
        <rFont val="Arial"/>
        <family val="2"/>
      </rPr>
      <t xml:space="preserve"> ton TS pr.ha pr.år</t>
    </r>
  </si>
  <si>
    <r>
      <t>Leveret vægt</t>
    </r>
    <r>
      <rPr>
        <sz val="10"/>
        <rFont val="Arial"/>
        <family val="2"/>
      </rPr>
      <t xml:space="preserve"> , ton råvare pr. ha pr. år</t>
    </r>
  </si>
  <si>
    <t>Energiindhold i leveret flis</t>
  </si>
  <si>
    <t>Energiindhold pr. t TS ved aktuelt vand%</t>
  </si>
  <si>
    <t>Fosfor, året efter plantning og høstår</t>
  </si>
  <si>
    <t>Kalium, året efter plantning og høstår</t>
  </si>
  <si>
    <t>Kvælstof, året efter høstår</t>
  </si>
  <si>
    <t>Etableringstilskud</t>
  </si>
  <si>
    <t>Sprøjtning efter høst</t>
  </si>
  <si>
    <t>Gødningsspredning, året efter plantning</t>
  </si>
  <si>
    <t>Energiindhold pr. t TS (nedre brændværdi, 0 % vand)</t>
  </si>
  <si>
    <t>Skærmet sprøjtning efter høst</t>
  </si>
  <si>
    <t>ATR glyphosat 480, år 0</t>
  </si>
  <si>
    <t>ATR glyphosat 480, høstår</t>
  </si>
  <si>
    <t>Grundbetaling kun ved &gt;0,3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</si>
</sst>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General_)"/>
    <numFmt numFmtId="165" formatCode="0.00_)"/>
    <numFmt numFmtId="166" formatCode="0_)"/>
    <numFmt numFmtId="167" formatCode="0.000_)"/>
    <numFmt numFmtId="168" formatCode="0.0_)"/>
    <numFmt numFmtId="169" formatCode="0.0"/>
    <numFmt numFmtId="170" formatCode="#,##0.0000"/>
    <numFmt numFmtId="171" formatCode="0.000"/>
    <numFmt numFmtId="172" formatCode="0.0%"/>
    <numFmt numFmtId="173" formatCode="0.00000_)"/>
    <numFmt numFmtId="174" formatCode="0.0000"/>
  </numFmts>
  <fonts count="30" x14ac:knownFonts="1">
    <font>
      <sz val="10"/>
      <name val="Courier"/>
    </font>
    <font>
      <sz val="10"/>
      <name val="MS Sans Serif"/>
      <family val="2"/>
    </font>
    <font>
      <sz val="10"/>
      <name val="Arial"/>
      <family val="2"/>
    </font>
    <font>
      <b/>
      <sz val="10"/>
      <name val="Arial"/>
      <family val="2"/>
    </font>
    <font>
      <sz val="10"/>
      <color indexed="12"/>
      <name val="Arial"/>
      <family val="2"/>
    </font>
    <font>
      <b/>
      <sz val="12"/>
      <name val="Arial"/>
      <family val="2"/>
    </font>
    <font>
      <b/>
      <sz val="14"/>
      <name val="Arial"/>
      <family val="2"/>
    </font>
    <font>
      <sz val="14"/>
      <name val="Arial"/>
      <family val="2"/>
    </font>
    <font>
      <sz val="8"/>
      <name val="Arial"/>
      <family val="2"/>
    </font>
    <font>
      <b/>
      <sz val="8"/>
      <name val="Arial"/>
      <family val="2"/>
    </font>
    <font>
      <b/>
      <i/>
      <sz val="10"/>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0"/>
      <color indexed="10"/>
      <name val="Arial"/>
      <family val="2"/>
    </font>
    <font>
      <sz val="10"/>
      <color rgb="FFFF0000"/>
      <name val="Arial"/>
      <family val="2"/>
    </font>
    <font>
      <sz val="10"/>
      <color theme="1"/>
      <name val="Arial"/>
      <family val="2"/>
    </font>
    <font>
      <b/>
      <i/>
      <sz val="10"/>
      <color rgb="FFFF0000"/>
      <name val="Arial"/>
      <family val="2"/>
    </font>
    <font>
      <u/>
      <sz val="8"/>
      <color indexed="81"/>
      <name val="Tahoma"/>
      <family val="2"/>
    </font>
    <font>
      <b/>
      <sz val="10"/>
      <color theme="1"/>
      <name val="Arial"/>
      <family val="2"/>
    </font>
    <font>
      <vertAlign val="superscript"/>
      <sz val="10"/>
      <color theme="1"/>
      <name val="Arial"/>
      <family val="2"/>
    </font>
    <font>
      <sz val="10"/>
      <color rgb="FF0070C0"/>
      <name val="Arial"/>
      <family val="2"/>
    </font>
    <font>
      <sz val="8"/>
      <color indexed="12"/>
      <name val="Arial"/>
      <family val="2"/>
    </font>
    <font>
      <i/>
      <sz val="10"/>
      <color rgb="FFFF0000"/>
      <name val="Arial"/>
      <family val="2"/>
    </font>
    <font>
      <b/>
      <sz val="10"/>
      <color rgb="FFFF0000"/>
      <name val="Arial"/>
      <family val="2"/>
    </font>
    <font>
      <i/>
      <sz val="10"/>
      <color theme="1"/>
      <name val="Arial"/>
      <family val="2"/>
    </font>
    <font>
      <sz val="8"/>
      <color theme="1"/>
      <name val="Arial"/>
      <family val="2"/>
    </font>
    <font>
      <b/>
      <sz val="8"/>
      <color rgb="FFFF0000"/>
      <name val="Arial"/>
      <family val="2"/>
    </font>
    <font>
      <sz val="10"/>
      <color theme="0"/>
      <name val="Arial"/>
      <family val="2"/>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3"/>
        <bgColor indexed="64"/>
      </patternFill>
    </fill>
    <fill>
      <patternFill patternType="solid">
        <fgColor rgb="FFFFFF99"/>
        <bgColor indexed="64"/>
      </patternFill>
    </fill>
  </fills>
  <borders count="19">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ouble">
        <color indexed="64"/>
      </bottom>
      <diagonal/>
    </border>
    <border>
      <left/>
      <right/>
      <top style="double">
        <color indexed="64"/>
      </top>
      <bottom style="double">
        <color indexed="64"/>
      </bottom>
      <diagonal/>
    </border>
  </borders>
  <cellStyleXfs count="2">
    <xf numFmtId="164" fontId="0" fillId="0" borderId="0"/>
    <xf numFmtId="40" fontId="1" fillId="0" borderId="0" applyFont="0" applyFill="0" applyBorder="0" applyAlignment="0" applyProtection="0"/>
  </cellStyleXfs>
  <cellXfs count="196">
    <xf numFmtId="164" fontId="0" fillId="0" borderId="0" xfId="0"/>
    <xf numFmtId="164" fontId="2" fillId="0" borderId="0" xfId="0" applyFont="1" applyAlignment="1" applyProtection="1">
      <alignment horizontal="left"/>
    </xf>
    <xf numFmtId="164" fontId="2" fillId="0" borderId="0" xfId="0" applyFont="1" applyProtection="1"/>
    <xf numFmtId="164" fontId="2" fillId="0" borderId="0" xfId="0" applyFont="1"/>
    <xf numFmtId="166" fontId="2" fillId="0" borderId="0" xfId="0" applyNumberFormat="1" applyFont="1" applyProtection="1"/>
    <xf numFmtId="166" fontId="4" fillId="0" borderId="0" xfId="0" applyNumberFormat="1" applyFont="1" applyProtection="1"/>
    <xf numFmtId="165" fontId="2" fillId="0" borderId="0" xfId="0" applyNumberFormat="1" applyFont="1" applyProtection="1"/>
    <xf numFmtId="166" fontId="2" fillId="0" borderId="0" xfId="0" applyNumberFormat="1" applyFont="1"/>
    <xf numFmtId="164" fontId="3" fillId="0" borderId="0" xfId="0" applyFont="1"/>
    <xf numFmtId="164" fontId="2" fillId="0" borderId="1" xfId="0" applyFont="1" applyBorder="1"/>
    <xf numFmtId="164" fontId="2" fillId="0" borderId="2" xfId="0" applyFont="1" applyBorder="1" applyProtection="1"/>
    <xf numFmtId="164" fontId="2" fillId="0" borderId="2" xfId="0" applyFont="1" applyBorder="1"/>
    <xf numFmtId="164" fontId="3" fillId="0" borderId="2" xfId="0" applyFont="1" applyBorder="1" applyAlignment="1" applyProtection="1">
      <alignment horizontal="center"/>
    </xf>
    <xf numFmtId="164" fontId="2" fillId="0" borderId="2" xfId="0" applyFont="1" applyBorder="1" applyAlignment="1" applyProtection="1">
      <alignment horizontal="center"/>
    </xf>
    <xf numFmtId="164" fontId="3" fillId="0" borderId="2" xfId="0" applyFont="1" applyBorder="1" applyProtection="1"/>
    <xf numFmtId="164" fontId="2" fillId="0" borderId="3" xfId="0" applyFont="1" applyBorder="1"/>
    <xf numFmtId="164" fontId="3" fillId="0" borderId="1" xfId="0" applyFont="1" applyBorder="1" applyAlignment="1" applyProtection="1">
      <alignment horizontal="left"/>
    </xf>
    <xf numFmtId="164" fontId="9" fillId="0" borderId="1" xfId="0" applyFont="1" applyBorder="1" applyAlignment="1" applyProtection="1">
      <alignment horizontal="right"/>
    </xf>
    <xf numFmtId="164" fontId="3" fillId="0" borderId="0" xfId="0" applyFont="1" applyBorder="1" applyAlignment="1" applyProtection="1">
      <alignment horizontal="left"/>
    </xf>
    <xf numFmtId="164" fontId="9" fillId="0" borderId="0" xfId="0" applyFont="1" applyBorder="1" applyAlignment="1" applyProtection="1">
      <alignment horizontal="right"/>
    </xf>
    <xf numFmtId="164" fontId="8" fillId="0" borderId="0" xfId="0" applyFont="1" applyBorder="1" applyAlignment="1" applyProtection="1">
      <alignment horizontal="right"/>
    </xf>
    <xf numFmtId="164" fontId="2" fillId="0" borderId="0" xfId="0" applyFont="1" applyBorder="1"/>
    <xf numFmtId="166" fontId="9" fillId="0" borderId="1" xfId="0" applyNumberFormat="1" applyFont="1" applyBorder="1" applyAlignment="1" applyProtection="1">
      <alignment horizontal="right"/>
    </xf>
    <xf numFmtId="166" fontId="3" fillId="0" borderId="0" xfId="0" applyNumberFormat="1" applyFont="1" applyBorder="1" applyProtection="1"/>
    <xf numFmtId="164" fontId="2" fillId="0" borderId="4" xfId="0" applyFont="1" applyBorder="1" applyProtection="1"/>
    <xf numFmtId="166" fontId="2" fillId="0" borderId="4" xfId="0" applyNumberFormat="1" applyFont="1" applyBorder="1" applyAlignment="1" applyProtection="1">
      <alignment horizontal="left"/>
    </xf>
    <xf numFmtId="164" fontId="2" fillId="0" borderId="4" xfId="0" applyFont="1" applyBorder="1" applyAlignment="1" applyProtection="1">
      <alignment horizontal="left"/>
    </xf>
    <xf numFmtId="164" fontId="2" fillId="0" borderId="4" xfId="0" applyFont="1" applyBorder="1"/>
    <xf numFmtId="169" fontId="3" fillId="0" borderId="0" xfId="0" applyNumberFormat="1" applyFont="1" applyFill="1" applyBorder="1" applyProtection="1"/>
    <xf numFmtId="166" fontId="2" fillId="0" borderId="0" xfId="0" applyNumberFormat="1" applyFont="1" applyBorder="1" applyAlignment="1" applyProtection="1">
      <alignment horizontal="left"/>
    </xf>
    <xf numFmtId="166" fontId="2" fillId="0" borderId="0" xfId="0" applyNumberFormat="1" applyFont="1" applyBorder="1" applyProtection="1"/>
    <xf numFmtId="164" fontId="2" fillId="0" borderId="5" xfId="0" applyFont="1" applyBorder="1"/>
    <xf numFmtId="164" fontId="4" fillId="0" borderId="2" xfId="0" applyFont="1" applyBorder="1"/>
    <xf numFmtId="38" fontId="4" fillId="0" borderId="2" xfId="1" applyNumberFormat="1" applyFont="1" applyBorder="1"/>
    <xf numFmtId="164" fontId="2" fillId="0" borderId="0" xfId="0" applyFont="1" applyBorder="1" applyProtection="1"/>
    <xf numFmtId="164" fontId="2" fillId="0" borderId="0" xfId="0" applyFont="1" applyBorder="1" applyAlignment="1" applyProtection="1">
      <alignment horizontal="left"/>
    </xf>
    <xf numFmtId="2" fontId="3" fillId="0" borderId="0" xfId="0" applyNumberFormat="1" applyFont="1" applyBorder="1"/>
    <xf numFmtId="169" fontId="3" fillId="0" borderId="0" xfId="0" applyNumberFormat="1" applyFont="1" applyBorder="1" applyProtection="1"/>
    <xf numFmtId="164" fontId="3" fillId="0" borderId="0" xfId="0" applyFont="1" applyBorder="1" applyProtection="1"/>
    <xf numFmtId="165" fontId="2" fillId="0" borderId="0" xfId="0" applyNumberFormat="1" applyFont="1" applyBorder="1" applyProtection="1"/>
    <xf numFmtId="164" fontId="8" fillId="0" borderId="0" xfId="0" applyFont="1" applyBorder="1" applyAlignment="1">
      <alignment horizontal="right"/>
    </xf>
    <xf numFmtId="166" fontId="2" fillId="0" borderId="0" xfId="0" applyNumberFormat="1" applyFont="1" applyFill="1" applyBorder="1" applyProtection="1"/>
    <xf numFmtId="164" fontId="5" fillId="0" borderId="0" xfId="0" applyFont="1" applyFill="1" applyBorder="1" applyAlignment="1" applyProtection="1">
      <alignment horizontal="center"/>
    </xf>
    <xf numFmtId="165" fontId="3" fillId="0" borderId="0" xfId="0" applyNumberFormat="1" applyFont="1" applyBorder="1" applyProtection="1"/>
    <xf numFmtId="164" fontId="10" fillId="0" borderId="0" xfId="0" applyFont="1" applyBorder="1" applyAlignment="1" applyProtection="1">
      <alignment horizontal="left"/>
    </xf>
    <xf numFmtId="9" fontId="2" fillId="0" borderId="0" xfId="0" applyNumberFormat="1" applyFont="1"/>
    <xf numFmtId="0" fontId="2" fillId="0" borderId="4" xfId="0" applyNumberFormat="1" applyFont="1" applyBorder="1" applyProtection="1"/>
    <xf numFmtId="164" fontId="2" fillId="0" borderId="6" xfId="0" applyFont="1" applyBorder="1" applyAlignment="1" applyProtection="1">
      <alignment horizontal="left"/>
    </xf>
    <xf numFmtId="164" fontId="2" fillId="0" borderId="6" xfId="0" applyFont="1" applyBorder="1"/>
    <xf numFmtId="164" fontId="2" fillId="0" borderId="6" xfId="0" applyFont="1" applyBorder="1" applyProtection="1"/>
    <xf numFmtId="164" fontId="2" fillId="2" borderId="0" xfId="0" applyFont="1" applyFill="1"/>
    <xf numFmtId="164" fontId="2" fillId="3" borderId="0" xfId="0" applyFont="1" applyFill="1"/>
    <xf numFmtId="164" fontId="2" fillId="0" borderId="0" xfId="0" applyFont="1" applyFill="1"/>
    <xf numFmtId="164" fontId="2" fillId="0" borderId="7" xfId="0" applyFont="1" applyBorder="1"/>
    <xf numFmtId="164" fontId="2" fillId="0" borderId="8" xfId="0" applyFont="1" applyBorder="1"/>
    <xf numFmtId="164" fontId="2" fillId="0" borderId="9" xfId="0" applyFont="1" applyBorder="1"/>
    <xf numFmtId="170" fontId="2" fillId="0" borderId="0" xfId="0" applyNumberFormat="1" applyFont="1" applyProtection="1"/>
    <xf numFmtId="164" fontId="6" fillId="0" borderId="0" xfId="0" applyFont="1" applyBorder="1"/>
    <xf numFmtId="164" fontId="7" fillId="0" borderId="0" xfId="0" applyFont="1" applyBorder="1"/>
    <xf numFmtId="164" fontId="2" fillId="0" borderId="10" xfId="0" applyFont="1" applyBorder="1"/>
    <xf numFmtId="164" fontId="2" fillId="0" borderId="11" xfId="0" applyFont="1" applyBorder="1"/>
    <xf numFmtId="166" fontId="3" fillId="0" borderId="0" xfId="0" applyNumberFormat="1" applyFont="1" applyBorder="1" applyAlignment="1" applyProtection="1">
      <alignment horizontal="center"/>
    </xf>
    <xf numFmtId="164" fontId="3" fillId="0" borderId="0" xfId="0" applyFont="1" applyBorder="1" applyAlignment="1" applyProtection="1">
      <alignment horizontal="center"/>
    </xf>
    <xf numFmtId="166" fontId="2" fillId="0" borderId="0" xfId="0" applyNumberFormat="1" applyFont="1" applyBorder="1" applyAlignment="1" applyProtection="1">
      <alignment horizontal="center"/>
    </xf>
    <xf numFmtId="164" fontId="2" fillId="0" borderId="0" xfId="0" applyFont="1" applyBorder="1" applyAlignment="1" applyProtection="1">
      <alignment horizontal="center"/>
    </xf>
    <xf numFmtId="164" fontId="3" fillId="0" borderId="7" xfId="0" applyFont="1" applyBorder="1"/>
    <xf numFmtId="164" fontId="2" fillId="0" borderId="0" xfId="0" applyFont="1" applyFill="1" applyBorder="1" applyAlignment="1" applyProtection="1">
      <alignment horizontal="left"/>
    </xf>
    <xf numFmtId="166" fontId="4" fillId="0" borderId="0" xfId="0" applyNumberFormat="1" applyFont="1" applyBorder="1" applyProtection="1"/>
    <xf numFmtId="164" fontId="2" fillId="0" borderId="12" xfId="0" applyFont="1" applyBorder="1"/>
    <xf numFmtId="164" fontId="2" fillId="0" borderId="1" xfId="0" applyFont="1" applyBorder="1" applyProtection="1"/>
    <xf numFmtId="166" fontId="2" fillId="0" borderId="1" xfId="0" applyNumberFormat="1" applyFont="1" applyBorder="1" applyProtection="1"/>
    <xf numFmtId="169" fontId="3" fillId="0" borderId="1" xfId="0" applyNumberFormat="1" applyFont="1" applyBorder="1" applyProtection="1"/>
    <xf numFmtId="38" fontId="4" fillId="0" borderId="13" xfId="1" applyNumberFormat="1" applyFont="1" applyBorder="1"/>
    <xf numFmtId="166" fontId="3" fillId="0" borderId="4" xfId="0" applyNumberFormat="1" applyFont="1" applyBorder="1" applyProtection="1"/>
    <xf numFmtId="164" fontId="2" fillId="0" borderId="14" xfId="0" applyFont="1" applyBorder="1"/>
    <xf numFmtId="164" fontId="2" fillId="0" borderId="15" xfId="0" applyFont="1" applyBorder="1"/>
    <xf numFmtId="0" fontId="2" fillId="0" borderId="16" xfId="0" applyNumberFormat="1" applyFont="1" applyBorder="1" applyProtection="1"/>
    <xf numFmtId="164" fontId="2" fillId="0" borderId="17" xfId="0" applyFont="1" applyBorder="1"/>
    <xf numFmtId="164" fontId="2" fillId="0" borderId="18" xfId="0" applyFont="1" applyBorder="1"/>
    <xf numFmtId="9" fontId="2" fillId="2" borderId="0" xfId="0" applyNumberFormat="1" applyFont="1" applyFill="1"/>
    <xf numFmtId="170" fontId="2" fillId="0" borderId="0" xfId="0" applyNumberFormat="1" applyFont="1" applyBorder="1" applyProtection="1"/>
    <xf numFmtId="0" fontId="2" fillId="0" borderId="0" xfId="0" applyNumberFormat="1" applyFont="1" applyBorder="1" applyProtection="1"/>
    <xf numFmtId="164" fontId="5" fillId="0" borderId="0" xfId="0" applyFont="1" applyFill="1" applyBorder="1" applyAlignment="1" applyProtection="1">
      <alignment horizontal="left"/>
    </xf>
    <xf numFmtId="164" fontId="2" fillId="0" borderId="0" xfId="0" applyFont="1" applyFill="1" applyBorder="1" applyAlignment="1" applyProtection="1">
      <alignment horizontal="left"/>
      <protection locked="0"/>
    </xf>
    <xf numFmtId="164" fontId="10" fillId="0" borderId="0" xfId="0" applyFont="1" applyFill="1" applyBorder="1" applyAlignment="1" applyProtection="1">
      <alignment horizontal="left"/>
    </xf>
    <xf numFmtId="164" fontId="3" fillId="0" borderId="0" xfId="0" applyFont="1" applyBorder="1"/>
    <xf numFmtId="164" fontId="2" fillId="4" borderId="0" xfId="0" applyFont="1" applyFill="1"/>
    <xf numFmtId="164" fontId="2" fillId="4" borderId="0" xfId="0" applyFont="1" applyFill="1" applyProtection="1"/>
    <xf numFmtId="166" fontId="2" fillId="4" borderId="0" xfId="0" applyNumberFormat="1" applyFont="1" applyFill="1" applyProtection="1"/>
    <xf numFmtId="164" fontId="2" fillId="4" borderId="0" xfId="0" applyFont="1" applyFill="1" applyAlignment="1" applyProtection="1">
      <alignment horizontal="left"/>
    </xf>
    <xf numFmtId="166" fontId="2" fillId="4" borderId="0" xfId="0" applyNumberFormat="1" applyFont="1" applyFill="1" applyAlignment="1" applyProtection="1">
      <alignment horizontal="left"/>
    </xf>
    <xf numFmtId="165" fontId="2" fillId="4" borderId="0" xfId="0" applyNumberFormat="1" applyFont="1" applyFill="1" applyProtection="1"/>
    <xf numFmtId="166" fontId="4" fillId="4" borderId="0" xfId="0" applyNumberFormat="1" applyFont="1" applyFill="1" applyProtection="1"/>
    <xf numFmtId="166" fontId="2" fillId="4" borderId="0" xfId="0" applyNumberFormat="1" applyFont="1" applyFill="1"/>
    <xf numFmtId="164" fontId="3" fillId="4" borderId="0" xfId="0" applyFont="1" applyFill="1" applyAlignment="1" applyProtection="1">
      <alignment horizontal="left"/>
    </xf>
    <xf numFmtId="169" fontId="3" fillId="4" borderId="0" xfId="0" applyNumberFormat="1" applyFont="1" applyFill="1" applyProtection="1"/>
    <xf numFmtId="164" fontId="15" fillId="0" borderId="0" xfId="0" applyFont="1" applyBorder="1"/>
    <xf numFmtId="164" fontId="5" fillId="0" borderId="0" xfId="0" applyFont="1" applyAlignment="1" applyProtection="1"/>
    <xf numFmtId="168" fontId="2" fillId="0" borderId="0" xfId="0" applyNumberFormat="1" applyFont="1" applyBorder="1" applyProtection="1"/>
    <xf numFmtId="164" fontId="2" fillId="0" borderId="0" xfId="0" applyFont="1" applyFill="1" applyBorder="1" applyAlignment="1" applyProtection="1">
      <alignment horizontal="center"/>
    </xf>
    <xf numFmtId="169" fontId="2" fillId="0" borderId="0" xfId="0" applyNumberFormat="1" applyFont="1" applyFill="1" applyBorder="1" applyAlignment="1" applyProtection="1">
      <alignment horizontal="center"/>
    </xf>
    <xf numFmtId="164" fontId="17" fillId="0" borderId="7" xfId="0" applyFont="1" applyBorder="1"/>
    <xf numFmtId="164" fontId="17" fillId="0" borderId="0" xfId="0" applyFont="1" applyFill="1" applyBorder="1" applyAlignment="1" applyProtection="1">
      <alignment horizontal="left"/>
    </xf>
    <xf numFmtId="164" fontId="17" fillId="0" borderId="0" xfId="0" applyFont="1" applyFill="1" applyBorder="1" applyAlignment="1" applyProtection="1">
      <alignment horizontal="left"/>
      <protection locked="0"/>
    </xf>
    <xf numFmtId="168" fontId="17" fillId="0" borderId="0" xfId="0" applyNumberFormat="1" applyFont="1" applyBorder="1" applyProtection="1"/>
    <xf numFmtId="167" fontId="17" fillId="0" borderId="0" xfId="0" applyNumberFormat="1" applyFont="1" applyFill="1" applyBorder="1" applyProtection="1"/>
    <xf numFmtId="166" fontId="17" fillId="0" borderId="0" xfId="0" applyNumberFormat="1" applyFont="1" applyBorder="1" applyProtection="1"/>
    <xf numFmtId="164" fontId="17" fillId="0" borderId="0" xfId="0" applyFont="1"/>
    <xf numFmtId="1" fontId="18" fillId="0" borderId="0" xfId="0" applyNumberFormat="1" applyFont="1" applyBorder="1"/>
    <xf numFmtId="2" fontId="2" fillId="0" borderId="0" xfId="0" applyNumberFormat="1" applyFont="1" applyBorder="1"/>
    <xf numFmtId="164" fontId="20" fillId="0" borderId="0" xfId="0" applyFont="1" applyBorder="1" applyProtection="1"/>
    <xf numFmtId="164" fontId="17" fillId="0" borderId="0" xfId="0" applyFont="1" applyBorder="1" applyAlignment="1" applyProtection="1">
      <alignment horizontal="center"/>
    </xf>
    <xf numFmtId="164" fontId="17" fillId="0" borderId="0" xfId="0" applyFont="1" applyBorder="1" applyProtection="1"/>
    <xf numFmtId="164" fontId="17" fillId="0" borderId="0" xfId="0" applyFont="1" applyBorder="1"/>
    <xf numFmtId="164" fontId="22" fillId="0" borderId="0" xfId="0" applyFont="1" applyBorder="1" applyAlignment="1" applyProtection="1">
      <alignment horizontal="left"/>
    </xf>
    <xf numFmtId="165" fontId="2" fillId="0" borderId="0" xfId="0" applyNumberFormat="1" applyFont="1" applyFill="1" applyBorder="1" applyProtection="1">
      <protection locked="0"/>
    </xf>
    <xf numFmtId="166" fontId="17" fillId="0" borderId="0" xfId="0" applyNumberFormat="1" applyFont="1" applyFill="1" applyBorder="1" applyProtection="1">
      <protection locked="0"/>
    </xf>
    <xf numFmtId="2" fontId="16" fillId="0" borderId="0" xfId="0" applyNumberFormat="1" applyFont="1" applyBorder="1"/>
    <xf numFmtId="164" fontId="16" fillId="0" borderId="0" xfId="0" applyFont="1" applyBorder="1"/>
    <xf numFmtId="166" fontId="16" fillId="0" borderId="0" xfId="0" applyNumberFormat="1" applyFont="1" applyBorder="1" applyProtection="1"/>
    <xf numFmtId="166" fontId="16" fillId="0" borderId="0" xfId="0" applyNumberFormat="1" applyFont="1" applyBorder="1"/>
    <xf numFmtId="167" fontId="16" fillId="0" borderId="0" xfId="0" applyNumberFormat="1" applyFont="1" applyFill="1" applyBorder="1" applyProtection="1"/>
    <xf numFmtId="1" fontId="16" fillId="0" borderId="0" xfId="0" applyNumberFormat="1" applyFont="1" applyFill="1" applyBorder="1" applyProtection="1"/>
    <xf numFmtId="166" fontId="16" fillId="0" borderId="0" xfId="0" applyNumberFormat="1" applyFont="1" applyBorder="1" applyAlignment="1" applyProtection="1">
      <alignment horizontal="left"/>
    </xf>
    <xf numFmtId="166" fontId="24" fillId="0" borderId="0" xfId="0" applyNumberFormat="1" applyFont="1" applyBorder="1" applyProtection="1"/>
    <xf numFmtId="1" fontId="16" fillId="0" borderId="0" xfId="0" applyNumberFormat="1" applyFont="1" applyBorder="1" applyAlignment="1">
      <alignment horizontal="center"/>
    </xf>
    <xf numFmtId="2" fontId="16" fillId="0" borderId="0" xfId="0" applyNumberFormat="1" applyFont="1" applyBorder="1" applyAlignment="1">
      <alignment horizontal="center"/>
    </xf>
    <xf numFmtId="164" fontId="16" fillId="0" borderId="0" xfId="0" applyFont="1" applyBorder="1" applyAlignment="1">
      <alignment horizontal="center"/>
    </xf>
    <xf numFmtId="164" fontId="2" fillId="0" borderId="0" xfId="0" applyFont="1" applyAlignment="1">
      <alignment horizontal="center"/>
    </xf>
    <xf numFmtId="9" fontId="16" fillId="0" borderId="0" xfId="0" applyNumberFormat="1" applyFont="1" applyBorder="1" applyAlignment="1">
      <alignment horizontal="center"/>
    </xf>
    <xf numFmtId="166" fontId="16" fillId="0" borderId="2" xfId="0" applyNumberFormat="1" applyFont="1" applyBorder="1" applyProtection="1"/>
    <xf numFmtId="1" fontId="16" fillId="0" borderId="2" xfId="0" applyNumberFormat="1" applyFont="1" applyBorder="1" applyProtection="1"/>
    <xf numFmtId="164" fontId="16" fillId="0" borderId="2" xfId="0" applyFont="1" applyBorder="1" applyProtection="1"/>
    <xf numFmtId="164" fontId="25" fillId="0" borderId="2" xfId="0" applyFont="1" applyBorder="1" applyProtection="1"/>
    <xf numFmtId="164" fontId="16" fillId="0" borderId="2" xfId="0" applyFont="1" applyBorder="1"/>
    <xf numFmtId="166" fontId="25" fillId="0" borderId="2" xfId="0" applyNumberFormat="1" applyFont="1" applyBorder="1" applyProtection="1"/>
    <xf numFmtId="164" fontId="16" fillId="0" borderId="0" xfId="0" applyFont="1"/>
    <xf numFmtId="164" fontId="17" fillId="0" borderId="0" xfId="0" applyFont="1" applyBorder="1" applyAlignment="1" applyProtection="1">
      <alignment horizontal="left"/>
    </xf>
    <xf numFmtId="166" fontId="3" fillId="0" borderId="1" xfId="0" applyNumberFormat="1" applyFont="1" applyBorder="1" applyProtection="1"/>
    <xf numFmtId="166" fontId="16" fillId="0" borderId="1" xfId="0" applyNumberFormat="1" applyFont="1" applyBorder="1" applyProtection="1"/>
    <xf numFmtId="164" fontId="16" fillId="0" borderId="1" xfId="0" applyFont="1" applyBorder="1" applyProtection="1"/>
    <xf numFmtId="1" fontId="16" fillId="0" borderId="1" xfId="0" applyNumberFormat="1" applyFont="1" applyBorder="1" applyProtection="1"/>
    <xf numFmtId="1" fontId="25" fillId="0" borderId="0" xfId="0" applyNumberFormat="1" applyFont="1" applyBorder="1" applyProtection="1"/>
    <xf numFmtId="164" fontId="16" fillId="0" borderId="0" xfId="0" applyFont="1" applyBorder="1" applyAlignment="1" applyProtection="1">
      <alignment horizontal="left"/>
    </xf>
    <xf numFmtId="164" fontId="16" fillId="0" borderId="0" xfId="0" applyFont="1" applyFill="1" applyBorder="1" applyAlignment="1" applyProtection="1">
      <alignment horizontal="left"/>
    </xf>
    <xf numFmtId="171" fontId="17" fillId="0" borderId="0" xfId="0" applyNumberFormat="1" applyFont="1" applyFill="1" applyBorder="1" applyAlignment="1" applyProtection="1">
      <alignment horizontal="right"/>
      <protection locked="0"/>
    </xf>
    <xf numFmtId="166" fontId="26" fillId="0" borderId="1" xfId="0" applyNumberFormat="1" applyFont="1" applyBorder="1" applyProtection="1"/>
    <xf numFmtId="166" fontId="20" fillId="0" borderId="1" xfId="0" applyNumberFormat="1" applyFont="1" applyBorder="1" applyProtection="1"/>
    <xf numFmtId="166" fontId="27" fillId="0" borderId="0" xfId="0" applyNumberFormat="1" applyFont="1" applyBorder="1" applyAlignment="1" applyProtection="1">
      <alignment horizontal="right"/>
    </xf>
    <xf numFmtId="164" fontId="27" fillId="0" borderId="0" xfId="0" applyFont="1" applyBorder="1" applyAlignment="1" applyProtection="1">
      <alignment horizontal="right"/>
    </xf>
    <xf numFmtId="164" fontId="16" fillId="0" borderId="0" xfId="0" applyFont="1" applyBorder="1" applyProtection="1"/>
    <xf numFmtId="164" fontId="25" fillId="0" borderId="1" xfId="0" applyFont="1" applyBorder="1" applyAlignment="1" applyProtection="1">
      <alignment horizontal="left"/>
    </xf>
    <xf numFmtId="164" fontId="28" fillId="0" borderId="1" xfId="0" applyFont="1" applyBorder="1" applyAlignment="1" applyProtection="1">
      <alignment horizontal="right"/>
    </xf>
    <xf numFmtId="1" fontId="25" fillId="0" borderId="1" xfId="0" applyNumberFormat="1" applyFont="1" applyBorder="1" applyProtection="1"/>
    <xf numFmtId="165" fontId="25" fillId="0" borderId="1" xfId="0" applyNumberFormat="1" applyFont="1" applyBorder="1" applyProtection="1"/>
    <xf numFmtId="1" fontId="16" fillId="0" borderId="1" xfId="0" applyNumberFormat="1" applyFont="1" applyFill="1" applyBorder="1" applyAlignment="1" applyProtection="1">
      <alignment horizontal="right"/>
      <protection locked="0"/>
    </xf>
    <xf numFmtId="164" fontId="2" fillId="0" borderId="0" xfId="0" applyFont="1" applyFill="1" applyAlignment="1" applyProtection="1">
      <alignment horizontal="left"/>
    </xf>
    <xf numFmtId="166" fontId="2" fillId="0" borderId="0" xfId="0" applyNumberFormat="1" applyFont="1" applyFill="1" applyAlignment="1" applyProtection="1">
      <alignment horizontal="left"/>
    </xf>
    <xf numFmtId="1" fontId="2" fillId="0" borderId="0" xfId="0" applyNumberFormat="1" applyFont="1" applyFill="1" applyAlignment="1" applyProtection="1">
      <alignment horizontal="center"/>
    </xf>
    <xf numFmtId="165" fontId="2" fillId="0" borderId="0" xfId="0" applyNumberFormat="1" applyFont="1" applyFill="1" applyProtection="1"/>
    <xf numFmtId="171" fontId="16" fillId="0" borderId="0" xfId="0" applyNumberFormat="1" applyFont="1" applyBorder="1" applyAlignment="1">
      <alignment horizontal="center"/>
    </xf>
    <xf numFmtId="172" fontId="2" fillId="0" borderId="0" xfId="0" applyNumberFormat="1" applyFont="1"/>
    <xf numFmtId="166" fontId="2" fillId="0" borderId="0" xfId="0" applyNumberFormat="1" applyFont="1" applyFill="1" applyAlignment="1" applyProtection="1">
      <alignment horizontal="center"/>
    </xf>
    <xf numFmtId="164" fontId="2" fillId="0" borderId="0" xfId="0" applyFont="1" applyFill="1" applyAlignment="1">
      <alignment horizontal="left"/>
    </xf>
    <xf numFmtId="1" fontId="2" fillId="0" borderId="0" xfId="0" applyNumberFormat="1" applyFont="1" applyFill="1"/>
    <xf numFmtId="164" fontId="2" fillId="0" borderId="0" xfId="0" applyFont="1" applyFill="1" applyProtection="1"/>
    <xf numFmtId="164" fontId="3" fillId="0" borderId="11" xfId="0" applyFont="1" applyFill="1" applyBorder="1"/>
    <xf numFmtId="164" fontId="17" fillId="0" borderId="11" xfId="0" applyFont="1" applyFill="1" applyBorder="1" applyAlignment="1">
      <alignment horizontal="left"/>
    </xf>
    <xf numFmtId="164" fontId="3" fillId="0" borderId="0" xfId="0" applyFont="1" applyFill="1" applyBorder="1"/>
    <xf numFmtId="164" fontId="17" fillId="0" borderId="0" xfId="0" applyFont="1" applyFill="1" applyBorder="1" applyAlignment="1">
      <alignment horizontal="left"/>
    </xf>
    <xf numFmtId="164" fontId="23" fillId="0" borderId="0" xfId="0" applyFont="1" applyFill="1" applyBorder="1" applyAlignment="1">
      <alignment horizontal="center"/>
    </xf>
    <xf numFmtId="164" fontId="17" fillId="0" borderId="0" xfId="0" applyFont="1" applyFill="1" applyBorder="1" applyAlignment="1" applyProtection="1">
      <alignment horizontal="center"/>
      <protection locked="0"/>
    </xf>
    <xf numFmtId="2" fontId="17" fillId="0" borderId="0" xfId="0" applyNumberFormat="1" applyFont="1" applyFill="1" applyBorder="1" applyAlignment="1" applyProtection="1">
      <alignment horizontal="center"/>
      <protection locked="0"/>
    </xf>
    <xf numFmtId="164" fontId="17" fillId="5" borderId="0" xfId="0" applyFont="1" applyFill="1" applyBorder="1" applyAlignment="1" applyProtection="1">
      <alignment horizontal="center"/>
      <protection locked="0"/>
    </xf>
    <xf numFmtId="166" fontId="16" fillId="5" borderId="0" xfId="0" applyNumberFormat="1" applyFont="1" applyFill="1" applyBorder="1" applyProtection="1">
      <protection locked="0"/>
    </xf>
    <xf numFmtId="164" fontId="17" fillId="5" borderId="0" xfId="0" applyFont="1" applyFill="1" applyBorder="1" applyAlignment="1" applyProtection="1">
      <alignment horizontal="left"/>
      <protection locked="0"/>
    </xf>
    <xf numFmtId="172" fontId="17" fillId="5" borderId="11" xfId="0" applyNumberFormat="1" applyFont="1" applyFill="1" applyBorder="1" applyAlignment="1" applyProtection="1">
      <alignment horizontal="center"/>
      <protection locked="0"/>
    </xf>
    <xf numFmtId="9" fontId="17" fillId="5" borderId="0" xfId="0" applyNumberFormat="1" applyFont="1" applyFill="1" applyBorder="1" applyAlignment="1" applyProtection="1">
      <alignment horizontal="center"/>
      <protection locked="0"/>
    </xf>
    <xf numFmtId="171" fontId="17" fillId="5" borderId="0" xfId="0" applyNumberFormat="1" applyFont="1" applyFill="1" applyBorder="1" applyAlignment="1" applyProtection="1">
      <alignment horizontal="right"/>
      <protection locked="0"/>
    </xf>
    <xf numFmtId="165" fontId="17" fillId="5" borderId="0" xfId="0" applyNumberFormat="1" applyFont="1" applyFill="1" applyBorder="1" applyProtection="1">
      <protection locked="0"/>
    </xf>
    <xf numFmtId="166" fontId="17" fillId="5" borderId="0" xfId="0" applyNumberFormat="1" applyFont="1" applyFill="1" applyBorder="1" applyProtection="1">
      <protection locked="0"/>
    </xf>
    <xf numFmtId="165" fontId="2" fillId="5" borderId="0" xfId="0" applyNumberFormat="1" applyFont="1" applyFill="1" applyBorder="1" applyProtection="1"/>
    <xf numFmtId="9" fontId="2" fillId="0" borderId="0" xfId="0" applyNumberFormat="1" applyFont="1" applyFill="1"/>
    <xf numFmtId="164" fontId="16" fillId="0" borderId="0" xfId="0" applyFont="1" applyFill="1" applyBorder="1" applyAlignment="1">
      <alignment horizontal="center"/>
    </xf>
    <xf numFmtId="1" fontId="16" fillId="0" borderId="0" xfId="0" applyNumberFormat="1" applyFont="1" applyFill="1" applyBorder="1" applyAlignment="1">
      <alignment horizontal="center"/>
    </xf>
    <xf numFmtId="164" fontId="3" fillId="0" borderId="0" xfId="0" applyFont="1" applyFill="1"/>
    <xf numFmtId="164" fontId="17" fillId="0" borderId="0" xfId="0" applyFont="1" applyFill="1"/>
    <xf numFmtId="164" fontId="4" fillId="0" borderId="0" xfId="0" applyFont="1" applyFill="1"/>
    <xf numFmtId="164" fontId="2" fillId="0" borderId="0" xfId="0" applyFont="1" applyFill="1" applyBorder="1"/>
    <xf numFmtId="164" fontId="2" fillId="0" borderId="0" xfId="0" applyFont="1" applyBorder="1" applyAlignment="1">
      <alignment horizontal="center"/>
    </xf>
    <xf numFmtId="164" fontId="29" fillId="0" borderId="0" xfId="0" applyFont="1" applyFill="1"/>
    <xf numFmtId="9" fontId="29" fillId="0" borderId="0" xfId="0" applyNumberFormat="1" applyFont="1" applyFill="1"/>
    <xf numFmtId="167" fontId="2" fillId="0" borderId="0" xfId="0" applyNumberFormat="1" applyFont="1" applyFill="1" applyAlignment="1" applyProtection="1">
      <alignment horizontal="left"/>
    </xf>
    <xf numFmtId="173" fontId="2" fillId="0" borderId="0" xfId="0" applyNumberFormat="1" applyFont="1" applyFill="1" applyAlignment="1" applyProtection="1">
      <alignment horizontal="left"/>
    </xf>
    <xf numFmtId="174" fontId="2" fillId="0" borderId="0" xfId="0" applyNumberFormat="1" applyFont="1" applyFill="1" applyAlignment="1" applyProtection="1">
      <alignment horizontal="center"/>
    </xf>
    <xf numFmtId="164" fontId="5" fillId="0" borderId="0" xfId="0" applyFont="1" applyAlignment="1" applyProtection="1">
      <alignment horizontal="center"/>
    </xf>
  </cellXfs>
  <cellStyles count="2">
    <cellStyle name="Komma" xfId="1" builtinId="3"/>
    <cellStyle name="Normal" xfId="0" builtinId="0"/>
  </cellStyles>
  <dxfs count="1">
    <dxf>
      <font>
        <condense val="0"/>
        <extend val="0"/>
        <color indexed="53"/>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3" dropStyle="combo" dx="16" fmlaLink="FAKTKOL!$K$3" fmlaRange="FAKTKOL!$J$2:$J$4" sel="2" val="0"/>
</file>

<file path=xl/ctrlProps/ctrlProp2.xml><?xml version="1.0" encoding="utf-8"?>
<formControlPr xmlns="http://schemas.microsoft.com/office/spreadsheetml/2009/9/main" objectType="Drop" dropLines="2" dropStyle="combo" dx="16" fmlaLink="FAKTKOL!$K$2" fmlaRange="FAKTKOL!$J$3:$J$4"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29309</xdr:colOff>
      <xdr:row>5</xdr:row>
      <xdr:rowOff>117242</xdr:rowOff>
    </xdr:from>
    <xdr:to>
      <xdr:col>10</xdr:col>
      <xdr:colOff>131884</xdr:colOff>
      <xdr:row>18</xdr:row>
      <xdr:rowOff>7327</xdr:rowOff>
    </xdr:to>
    <xdr:sp macro="" textlink="">
      <xdr:nvSpPr>
        <xdr:cNvPr id="2" name="Tekstboks 1">
          <a:extLst>
            <a:ext uri="{FF2B5EF4-FFF2-40B4-BE49-F238E27FC236}">
              <a16:creationId xmlns:a16="http://schemas.microsoft.com/office/drawing/2014/main" id="{00000000-0008-0000-0000-000002000000}"/>
            </a:ext>
          </a:extLst>
        </xdr:cNvPr>
        <xdr:cNvSpPr txBox="1"/>
      </xdr:nvSpPr>
      <xdr:spPr>
        <a:xfrm>
          <a:off x="3934559" y="1260242"/>
          <a:ext cx="2542440" cy="2080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da-DK" sz="800" b="1">
              <a:latin typeface="Arial" pitchFamily="34" charset="0"/>
              <a:cs typeface="Arial" pitchFamily="34" charset="0"/>
            </a:rPr>
            <a:t>Vejledning:</a:t>
          </a:r>
          <a:r>
            <a:rPr lang="da-DK" sz="800" b="0">
              <a:latin typeface="Arial" pitchFamily="34" charset="0"/>
              <a:cs typeface="Arial" pitchFamily="34" charset="0"/>
            </a:rPr>
            <a:t> Det er primært</a:t>
          </a:r>
          <a:r>
            <a:rPr lang="da-DK" sz="800" b="0" baseline="0">
              <a:latin typeface="Arial" pitchFamily="34" charset="0"/>
              <a:cs typeface="Arial" pitchFamily="34" charset="0"/>
            </a:rPr>
            <a:t> værdier i felter med gule skrift, som kan være relevante at ændre. </a:t>
          </a:r>
          <a:endParaRPr lang="da-DK" sz="800" b="0">
            <a:latin typeface="Arial" pitchFamily="34" charset="0"/>
            <a:cs typeface="Arial" pitchFamily="34" charset="0"/>
          </a:endParaRPr>
        </a:p>
        <a:p>
          <a:r>
            <a:rPr lang="da-DK" sz="800" b="1">
              <a:latin typeface="Arial" pitchFamily="34" charset="0"/>
              <a:cs typeface="Arial" pitchFamily="34" charset="0"/>
            </a:rPr>
            <a:t>Bemærk:</a:t>
          </a:r>
          <a:r>
            <a:rPr lang="da-DK" sz="800" b="0">
              <a:latin typeface="Arial" pitchFamily="34" charset="0"/>
              <a:cs typeface="Arial" pitchFamily="34" charset="0"/>
            </a:rPr>
            <a:t> Kalkulen</a:t>
          </a:r>
          <a:r>
            <a:rPr lang="da-DK" sz="800" b="0" baseline="0">
              <a:latin typeface="Arial" pitchFamily="34" charset="0"/>
              <a:cs typeface="Arial" pitchFamily="34" charset="0"/>
            </a:rPr>
            <a:t> er kun vejledende. For mange af faktorerne foreligger der kun et beskedent datagrundlag, ligesom der kan være betydelig usikkerhed mht. omkostningernes størrelse i praksis. </a:t>
          </a:r>
        </a:p>
        <a:p>
          <a:endParaRPr lang="da-DK" sz="800" b="0" baseline="0">
            <a:latin typeface="Arial" pitchFamily="34" charset="0"/>
            <a:cs typeface="Arial" pitchFamily="34" charset="0"/>
          </a:endParaRPr>
        </a:p>
        <a:p>
          <a:r>
            <a:rPr lang="da-DK" sz="800" b="0" baseline="0">
              <a:latin typeface="Arial" pitchFamily="34" charset="0"/>
              <a:cs typeface="Arial" pitchFamily="34" charset="0"/>
            </a:rPr>
            <a:t>Opmærksomheden henledes især på følgende faktorer, som kan have stor indflydelse på dækningsbidraget:</a:t>
          </a:r>
        </a:p>
        <a:p>
          <a:r>
            <a:rPr lang="da-DK" sz="800" b="0" baseline="0">
              <a:solidFill>
                <a:schemeClr val="dk1"/>
              </a:solidFill>
              <a:latin typeface="Arial" pitchFamily="34" charset="0"/>
              <a:ea typeface="+mn-ea"/>
              <a:cs typeface="Arial" pitchFamily="34" charset="0"/>
            </a:rPr>
            <a:t>-  Aftalt afregningspris</a:t>
          </a:r>
          <a:endParaRPr lang="da-DK" sz="800">
            <a:latin typeface="Arial" pitchFamily="34" charset="0"/>
            <a:cs typeface="Arial" pitchFamily="34" charset="0"/>
          </a:endParaRPr>
        </a:p>
        <a:p>
          <a:r>
            <a:rPr lang="da-DK" sz="800" b="0">
              <a:solidFill>
                <a:schemeClr val="dk1"/>
              </a:solidFill>
              <a:latin typeface="Arial" pitchFamily="34" charset="0"/>
              <a:ea typeface="+mn-ea"/>
              <a:cs typeface="Arial" pitchFamily="34" charset="0"/>
            </a:rPr>
            <a:t>-  Udbytteniveau</a:t>
          </a:r>
          <a:endParaRPr lang="da-DK" sz="800">
            <a:latin typeface="Arial" pitchFamily="34" charset="0"/>
            <a:cs typeface="Arial" pitchFamily="34" charset="0"/>
          </a:endParaRPr>
        </a:p>
        <a:p>
          <a:r>
            <a:rPr lang="da-DK" sz="800" b="0">
              <a:solidFill>
                <a:schemeClr val="dk1"/>
              </a:solidFill>
              <a:latin typeface="Arial" pitchFamily="34" charset="0"/>
              <a:ea typeface="+mn-ea"/>
              <a:cs typeface="Arial" pitchFamily="34" charset="0"/>
            </a:rPr>
            <a:t>-  Gødningsmængde</a:t>
          </a:r>
          <a:r>
            <a:rPr lang="da-DK" sz="800" b="0" baseline="0">
              <a:solidFill>
                <a:schemeClr val="dk1"/>
              </a:solidFill>
              <a:latin typeface="Arial" pitchFamily="34" charset="0"/>
              <a:ea typeface="+mn-ea"/>
              <a:cs typeface="Arial" pitchFamily="34" charset="0"/>
            </a:rPr>
            <a:t> og gødningstype</a:t>
          </a:r>
          <a:endParaRPr lang="da-DK" sz="800">
            <a:latin typeface="Arial" pitchFamily="34" charset="0"/>
            <a:cs typeface="Arial" pitchFamily="34" charset="0"/>
          </a:endParaRPr>
        </a:p>
        <a:p>
          <a:r>
            <a:rPr lang="da-DK" sz="800" b="0" baseline="0">
              <a:solidFill>
                <a:schemeClr val="dk1"/>
              </a:solidFill>
              <a:latin typeface="Arial" pitchFamily="34" charset="0"/>
              <a:ea typeface="+mn-ea"/>
              <a:cs typeface="Arial" pitchFamily="34" charset="0"/>
            </a:rPr>
            <a:t>-  Høstomkostninger</a:t>
          </a:r>
          <a:endParaRPr lang="da-DK" sz="800">
            <a:latin typeface="Arial" pitchFamily="34" charset="0"/>
            <a:cs typeface="Arial" pitchFamily="34" charset="0"/>
          </a:endParaRPr>
        </a:p>
        <a:p>
          <a:r>
            <a:rPr lang="da-DK" sz="800" b="0" baseline="0">
              <a:solidFill>
                <a:schemeClr val="dk1"/>
              </a:solidFill>
              <a:latin typeface="Arial" pitchFamily="34" charset="0"/>
              <a:ea typeface="+mn-ea"/>
              <a:cs typeface="Arial" pitchFamily="34" charset="0"/>
            </a:rPr>
            <a:t>-  Transportomkostninger</a:t>
          </a:r>
          <a:endParaRPr lang="da-DK" sz="800">
            <a:latin typeface="Arial" pitchFamily="34" charset="0"/>
            <a:cs typeface="Arial" pitchFamily="34" charset="0"/>
          </a:endParaRPr>
        </a:p>
        <a:p>
          <a:r>
            <a:rPr lang="da-DK" sz="800" b="0">
              <a:latin typeface="Arial" pitchFamily="34" charset="0"/>
              <a:cs typeface="Arial" pitchFamily="34" charset="0"/>
            </a:rPr>
            <a:t>Se desuden detaljeret</a:t>
          </a:r>
          <a:r>
            <a:rPr lang="da-DK" sz="800" b="0" baseline="0">
              <a:latin typeface="Arial" pitchFamily="34" charset="0"/>
              <a:cs typeface="Arial" pitchFamily="34" charset="0"/>
            </a:rPr>
            <a:t> </a:t>
          </a:r>
          <a:r>
            <a:rPr lang="da-DK" sz="800" b="0" baseline="0">
              <a:solidFill>
                <a:schemeClr val="tx2"/>
              </a:solidFill>
              <a:latin typeface="Arial" pitchFamily="34" charset="0"/>
              <a:cs typeface="Arial" pitchFamily="34" charset="0"/>
            </a:rPr>
            <a:t>beskrivelse</a:t>
          </a:r>
          <a:r>
            <a:rPr lang="da-DK" sz="800" b="0" baseline="0">
              <a:latin typeface="Arial" pitchFamily="34" charset="0"/>
              <a:cs typeface="Arial" pitchFamily="34" charset="0"/>
            </a:rPr>
            <a:t> af kalkulerne.</a:t>
          </a:r>
          <a:endParaRPr lang="da-DK" sz="800" b="0">
            <a:latin typeface="Arial" pitchFamily="34" charset="0"/>
            <a:cs typeface="Arial" pitchFamily="34" charset="0"/>
          </a:endParaRPr>
        </a:p>
      </xdr:txBody>
    </xdr:sp>
    <xdr:clientData/>
  </xdr:twoCellAnchor>
  <xdr:twoCellAnchor>
    <xdr:from>
      <xdr:col>6</xdr:col>
      <xdr:colOff>36635</xdr:colOff>
      <xdr:row>1</xdr:row>
      <xdr:rowOff>21982</xdr:rowOff>
    </xdr:from>
    <xdr:to>
      <xdr:col>10</xdr:col>
      <xdr:colOff>131885</xdr:colOff>
      <xdr:row>5</xdr:row>
      <xdr:rowOff>80599</xdr:rowOff>
    </xdr:to>
    <xdr:sp macro="" textlink="">
      <xdr:nvSpPr>
        <xdr:cNvPr id="3" name="Tekstboks 2">
          <a:extLst>
            <a:ext uri="{FF2B5EF4-FFF2-40B4-BE49-F238E27FC236}">
              <a16:creationId xmlns:a16="http://schemas.microsoft.com/office/drawing/2014/main" id="{00000000-0008-0000-0000-000003000000}"/>
            </a:ext>
          </a:extLst>
        </xdr:cNvPr>
        <xdr:cNvSpPr txBox="1"/>
      </xdr:nvSpPr>
      <xdr:spPr>
        <a:xfrm>
          <a:off x="3941885" y="534867"/>
          <a:ext cx="2535115" cy="849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900">
              <a:solidFill>
                <a:schemeClr val="dk1"/>
              </a:solidFill>
              <a:latin typeface="Arial" pitchFamily="34" charset="0"/>
              <a:ea typeface="+mn-ea"/>
              <a:cs typeface="Arial" pitchFamily="34" charset="0"/>
            </a:rPr>
            <a:t>Dato: </a:t>
          </a:r>
          <a:r>
            <a:rPr lang="da-DK" sz="900">
              <a:solidFill>
                <a:schemeClr val="tx1"/>
              </a:solidFill>
              <a:latin typeface="Arial" pitchFamily="34" charset="0"/>
              <a:ea typeface="+mn-ea"/>
              <a:cs typeface="Arial" pitchFamily="34" charset="0"/>
            </a:rPr>
            <a:t>07.11.2022</a:t>
          </a:r>
        </a:p>
        <a:p>
          <a:r>
            <a:rPr lang="da-DK" sz="900">
              <a:solidFill>
                <a:schemeClr val="dk1"/>
              </a:solidFill>
              <a:latin typeface="Arial" pitchFamily="34" charset="0"/>
              <a:ea typeface="+mn-ea"/>
              <a:cs typeface="Arial" pitchFamily="34" charset="0"/>
            </a:rPr>
            <a:t>Version: 3.00</a:t>
          </a:r>
        </a:p>
        <a:p>
          <a:pPr marL="0" marR="0" lvl="0" indent="0" defTabSz="914400" eaLnBrk="1" fontAlgn="auto" latinLnBrk="0" hangingPunct="1">
            <a:lnSpc>
              <a:spcPct val="100000"/>
            </a:lnSpc>
            <a:spcBef>
              <a:spcPts val="0"/>
            </a:spcBef>
            <a:spcAft>
              <a:spcPts val="0"/>
            </a:spcAft>
            <a:buClrTx/>
            <a:buSzTx/>
            <a:buFontTx/>
            <a:buNone/>
            <a:tabLst/>
            <a:defRPr/>
          </a:pPr>
          <a:r>
            <a:rPr lang="da-DK" sz="900">
              <a:solidFill>
                <a:schemeClr val="dk1"/>
              </a:solidFill>
              <a:latin typeface="Arial" pitchFamily="34" charset="0"/>
              <a:ea typeface="+mn-ea"/>
              <a:cs typeface="Arial" pitchFamily="34" charset="0"/>
            </a:rPr>
            <a:t>Ansvarlig: </a:t>
          </a:r>
          <a:r>
            <a:rPr kumimoji="0" lang="da-DK" sz="900" b="0" i="0" u="none" strike="noStrike" kern="0" cap="none" spc="0" normalizeH="0" baseline="0" noProof="0">
              <a:ln>
                <a:noFill/>
              </a:ln>
              <a:solidFill>
                <a:prstClr val="black"/>
              </a:solidFill>
              <a:effectLst/>
              <a:uLnTx/>
              <a:uFillTx/>
              <a:latin typeface="Arial" pitchFamily="34" charset="0"/>
              <a:ea typeface="+mn-ea"/>
              <a:cs typeface="Arial" pitchFamily="34" charset="0"/>
            </a:rPr>
            <a:t>Søren Ugilt Larsen, AgroTech og</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900" b="0" i="0" u="none" strike="noStrike" kern="0" cap="none" spc="0" normalizeH="0" baseline="0" noProof="0">
              <a:ln>
                <a:noFill/>
              </a:ln>
              <a:solidFill>
                <a:prstClr val="black"/>
              </a:solidFill>
              <a:effectLst/>
              <a:uLnTx/>
              <a:uFillTx/>
              <a:latin typeface="Arial" pitchFamily="34" charset="0"/>
              <a:ea typeface="+mn-ea"/>
              <a:cs typeface="Arial" pitchFamily="34" charset="0"/>
            </a:rPr>
            <a:t>Karen Jørgensen, SEGES Innovation</a:t>
          </a:r>
          <a:endParaRPr lang="da-DK" sz="900">
            <a:solidFill>
              <a:schemeClr val="dk1"/>
            </a:solidFill>
            <a:latin typeface="Arial" pitchFamily="34" charset="0"/>
            <a:ea typeface="+mn-ea"/>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4</xdr:row>
          <xdr:rowOff>57150</xdr:rowOff>
        </xdr:from>
        <xdr:to>
          <xdr:col>4</xdr:col>
          <xdr:colOff>361950</xdr:colOff>
          <xdr:row>5</xdr:row>
          <xdr:rowOff>28575</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0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28575</xdr:rowOff>
        </xdr:from>
        <xdr:to>
          <xdr:col>4</xdr:col>
          <xdr:colOff>371475</xdr:colOff>
          <xdr:row>4</xdr:row>
          <xdr:rowOff>0</xdr:rowOff>
        </xdr:to>
        <xdr:sp macro="" textlink="">
          <xdr:nvSpPr>
            <xdr:cNvPr id="16472" name="Drop Down 88" hidden="1">
              <a:extLst>
                <a:ext uri="{63B3BB69-23CF-44E3-9099-C40C66FF867C}">
                  <a14:compatExt spid="_x0000_s16472"/>
                </a:ext>
                <a:ext uri="{FF2B5EF4-FFF2-40B4-BE49-F238E27FC236}">
                  <a16:creationId xmlns:a16="http://schemas.microsoft.com/office/drawing/2014/main" id="{00000000-0008-0000-0000-00005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5</xdr:col>
      <xdr:colOff>545242</xdr:colOff>
      <xdr:row>0</xdr:row>
      <xdr:rowOff>33133</xdr:rowOff>
    </xdr:from>
    <xdr:to>
      <xdr:col>10</xdr:col>
      <xdr:colOff>49703</xdr:colOff>
      <xdr:row>0</xdr:row>
      <xdr:rowOff>347871</xdr:rowOff>
    </xdr:to>
    <xdr:pic>
      <xdr:nvPicPr>
        <xdr:cNvPr id="5" name="Billede 4">
          <a:extLst>
            <a:ext uri="{FF2B5EF4-FFF2-40B4-BE49-F238E27FC236}">
              <a16:creationId xmlns:a16="http://schemas.microsoft.com/office/drawing/2014/main" id="{0E32236A-D7E0-AF42-399E-515CB8F8D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3938" y="33133"/>
          <a:ext cx="2593874" cy="314738"/>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33"/>
  <sheetViews>
    <sheetView tabSelected="1" zoomScale="115" zoomScaleNormal="115" workbookViewId="0">
      <selection activeCell="C1" sqref="C1"/>
    </sheetView>
  </sheetViews>
  <sheetFormatPr defaultColWidth="9" defaultRowHeight="12.75" x14ac:dyDescent="0.2"/>
  <cols>
    <col min="1" max="1" width="3" style="3" customWidth="1"/>
    <col min="2" max="2" width="1.75" style="3" customWidth="1"/>
    <col min="3" max="3" width="30.625" style="3" customWidth="1"/>
    <col min="4" max="4" width="4.375" style="3" customWidth="1"/>
    <col min="5" max="5" width="5.875" style="3" customWidth="1"/>
    <col min="6" max="6" width="8.625" style="3" customWidth="1"/>
    <col min="7" max="9" width="9" style="3"/>
    <col min="10" max="10" width="4.875" style="3" customWidth="1"/>
    <col min="11" max="12" width="2.25" style="3" customWidth="1"/>
    <col min="13" max="17" width="9.75" style="3" customWidth="1"/>
    <col min="18" max="20" width="9" style="52"/>
    <col min="21" max="16384" width="9" style="3"/>
  </cols>
  <sheetData>
    <row r="1" spans="1:26" ht="27.75" customHeight="1" x14ac:dyDescent="0.25">
      <c r="C1" s="57" t="s">
        <v>59</v>
      </c>
      <c r="D1" s="57"/>
      <c r="E1" s="58"/>
      <c r="F1" s="58"/>
      <c r="G1" s="58"/>
      <c r="H1" s="58"/>
      <c r="I1" s="21"/>
      <c r="J1" s="21"/>
      <c r="K1" s="21"/>
      <c r="L1" s="21"/>
      <c r="M1" s="21"/>
      <c r="N1" s="21"/>
      <c r="O1" s="21"/>
      <c r="P1" s="21"/>
      <c r="Q1" s="21"/>
    </row>
    <row r="2" spans="1:26" ht="13.5" customHeight="1" x14ac:dyDescent="0.2">
      <c r="B2" s="59"/>
      <c r="C2" s="166" t="s">
        <v>14</v>
      </c>
      <c r="D2" s="166"/>
      <c r="E2" s="176">
        <v>0.04</v>
      </c>
      <c r="F2" s="167"/>
      <c r="G2" s="60"/>
      <c r="H2" s="60"/>
      <c r="I2" s="60"/>
      <c r="J2" s="60"/>
      <c r="K2" s="15"/>
    </row>
    <row r="3" spans="1:26" ht="13.5" customHeight="1" x14ac:dyDescent="0.2">
      <c r="B3" s="53"/>
      <c r="C3" s="168" t="s">
        <v>24</v>
      </c>
      <c r="D3" s="168"/>
      <c r="E3" s="173">
        <v>18</v>
      </c>
      <c r="F3" s="169" t="s">
        <v>21</v>
      </c>
      <c r="G3" s="21"/>
      <c r="H3" s="21"/>
      <c r="I3" s="21"/>
      <c r="J3" s="21"/>
      <c r="K3" s="11"/>
      <c r="M3" s="52"/>
    </row>
    <row r="4" spans="1:26" ht="18" customHeight="1" x14ac:dyDescent="0.2">
      <c r="B4" s="53"/>
      <c r="C4" s="168" t="s">
        <v>31</v>
      </c>
      <c r="D4" s="168"/>
      <c r="E4" s="170"/>
      <c r="F4" s="169" t="s">
        <v>21</v>
      </c>
      <c r="G4" s="21"/>
      <c r="H4" s="21"/>
      <c r="I4" s="21"/>
      <c r="J4" s="21"/>
      <c r="K4" s="11"/>
      <c r="M4" s="164"/>
      <c r="R4" s="190" t="s">
        <v>51</v>
      </c>
    </row>
    <row r="5" spans="1:26" ht="18" customHeight="1" x14ac:dyDescent="0.2">
      <c r="B5" s="53"/>
      <c r="C5" s="168" t="s">
        <v>25</v>
      </c>
      <c r="D5" s="168"/>
      <c r="E5" s="170"/>
      <c r="F5" s="169" t="s">
        <v>21</v>
      </c>
      <c r="G5" s="96"/>
      <c r="H5" s="21"/>
      <c r="I5" s="21"/>
      <c r="J5" s="21"/>
      <c r="K5" s="11"/>
      <c r="M5" s="164"/>
      <c r="R5" s="191">
        <v>0.15</v>
      </c>
    </row>
    <row r="6" spans="1:26" ht="13.5" customHeight="1" x14ac:dyDescent="0.25">
      <c r="B6" s="53"/>
      <c r="C6" s="168" t="s">
        <v>58</v>
      </c>
      <c r="D6" s="168"/>
      <c r="E6" s="173">
        <v>52</v>
      </c>
      <c r="F6" s="169" t="s">
        <v>26</v>
      </c>
      <c r="G6" s="82"/>
      <c r="H6" s="42"/>
      <c r="I6" s="42"/>
      <c r="J6" s="41"/>
      <c r="K6" s="10"/>
      <c r="R6" s="191">
        <v>0.16</v>
      </c>
    </row>
    <row r="7" spans="1:26" ht="13.5" customHeight="1" x14ac:dyDescent="0.25">
      <c r="B7" s="53"/>
      <c r="C7" s="168" t="s">
        <v>106</v>
      </c>
      <c r="D7" s="168"/>
      <c r="E7" s="173">
        <v>18.5</v>
      </c>
      <c r="F7" s="169" t="s">
        <v>92</v>
      </c>
      <c r="G7" s="21"/>
      <c r="H7" s="42"/>
      <c r="I7" s="21"/>
      <c r="J7" s="21"/>
      <c r="K7" s="12"/>
      <c r="R7" s="191"/>
    </row>
    <row r="8" spans="1:26" ht="13.5" customHeight="1" x14ac:dyDescent="0.25">
      <c r="B8" s="53"/>
      <c r="C8" s="168" t="s">
        <v>99</v>
      </c>
      <c r="D8" s="168"/>
      <c r="E8" s="171">
        <f>E9/(1-E10)</f>
        <v>17.686666666666667</v>
      </c>
      <c r="F8" s="169" t="s">
        <v>92</v>
      </c>
      <c r="G8" s="21"/>
      <c r="H8" s="42"/>
      <c r="I8" s="21"/>
      <c r="J8" s="21"/>
      <c r="K8" s="12"/>
      <c r="R8" s="191"/>
    </row>
    <row r="9" spans="1:26" ht="13.5" customHeight="1" x14ac:dyDescent="0.25">
      <c r="B9" s="53"/>
      <c r="C9" s="168" t="s">
        <v>98</v>
      </c>
      <c r="D9" s="168"/>
      <c r="E9" s="172">
        <f>$E$7-(0.2094*E10*100)</f>
        <v>13.265000000000001</v>
      </c>
      <c r="F9" s="169" t="s">
        <v>57</v>
      </c>
      <c r="G9" s="21"/>
      <c r="H9" s="42"/>
      <c r="I9" s="21"/>
      <c r="J9" s="21"/>
      <c r="K9" s="12"/>
      <c r="R9" s="191"/>
    </row>
    <row r="10" spans="1:26" ht="13.5" customHeight="1" x14ac:dyDescent="0.25">
      <c r="B10" s="53"/>
      <c r="C10" s="168" t="s">
        <v>51</v>
      </c>
      <c r="D10" s="168"/>
      <c r="E10" s="177">
        <v>0.25</v>
      </c>
      <c r="F10" s="169"/>
      <c r="G10" s="21"/>
      <c r="H10" s="42"/>
      <c r="I10" s="21"/>
      <c r="J10" s="21"/>
      <c r="K10" s="12"/>
      <c r="R10" s="191"/>
    </row>
    <row r="11" spans="1:26" ht="13.5" customHeight="1" x14ac:dyDescent="0.2">
      <c r="B11" s="53"/>
      <c r="C11" s="168" t="s">
        <v>27</v>
      </c>
      <c r="D11" s="168"/>
      <c r="E11" s="171">
        <f>E12*0.8</f>
        <v>8</v>
      </c>
      <c r="F11" s="169" t="s">
        <v>93</v>
      </c>
      <c r="G11" s="21"/>
      <c r="H11" s="21"/>
      <c r="I11" s="21"/>
      <c r="J11" s="21"/>
      <c r="K11" s="12"/>
      <c r="R11" s="191"/>
    </row>
    <row r="12" spans="1:26" ht="13.5" customHeight="1" x14ac:dyDescent="0.2">
      <c r="B12" s="53"/>
      <c r="C12" s="168" t="s">
        <v>28</v>
      </c>
      <c r="D12" s="168"/>
      <c r="E12" s="173">
        <v>10</v>
      </c>
      <c r="F12" s="169" t="s">
        <v>93</v>
      </c>
      <c r="G12" s="99"/>
      <c r="H12" s="100"/>
      <c r="I12" s="21"/>
      <c r="J12" s="21"/>
      <c r="K12" s="12"/>
      <c r="R12" s="191"/>
    </row>
    <row r="13" spans="1:26" ht="13.5" customHeight="1" x14ac:dyDescent="0.2">
      <c r="B13" s="53"/>
      <c r="C13" s="168" t="s">
        <v>84</v>
      </c>
      <c r="D13" s="168"/>
      <c r="E13" s="173">
        <v>35</v>
      </c>
      <c r="F13" s="169" t="s">
        <v>88</v>
      </c>
      <c r="G13" s="21"/>
      <c r="H13" s="21"/>
      <c r="I13" s="21"/>
      <c r="J13" s="21"/>
      <c r="K13" s="12"/>
      <c r="R13" s="191"/>
    </row>
    <row r="14" spans="1:26" ht="13.5" customHeight="1" x14ac:dyDescent="0.2">
      <c r="B14" s="53"/>
      <c r="C14" s="168" t="s">
        <v>85</v>
      </c>
      <c r="D14" s="168"/>
      <c r="E14" s="173">
        <v>30</v>
      </c>
      <c r="F14" s="169" t="s">
        <v>86</v>
      </c>
      <c r="G14" s="21"/>
      <c r="H14" s="21"/>
      <c r="I14" s="21"/>
      <c r="J14" s="21"/>
      <c r="K14" s="12"/>
      <c r="M14" s="156"/>
      <c r="N14" s="192"/>
      <c r="O14" s="157"/>
      <c r="P14" s="193"/>
      <c r="Q14" s="193"/>
      <c r="R14" s="191"/>
    </row>
    <row r="15" spans="1:26" ht="13.5" customHeight="1" x14ac:dyDescent="0.2">
      <c r="B15" s="53"/>
      <c r="C15" s="168" t="s">
        <v>87</v>
      </c>
      <c r="D15" s="168"/>
      <c r="E15" s="171">
        <f>17+0.2*E14</f>
        <v>23</v>
      </c>
      <c r="F15" s="169" t="s">
        <v>88</v>
      </c>
      <c r="G15" s="21"/>
      <c r="H15" s="109"/>
      <c r="I15" s="21"/>
      <c r="J15" s="21"/>
      <c r="K15" s="12"/>
      <c r="M15" s="156"/>
      <c r="N15" s="156"/>
      <c r="O15" s="156"/>
      <c r="P15" s="156"/>
      <c r="Q15" s="156"/>
      <c r="R15" s="191"/>
      <c r="S15" s="188"/>
      <c r="T15" s="188"/>
      <c r="U15" s="21"/>
      <c r="V15" s="21"/>
      <c r="W15" s="21"/>
      <c r="X15" s="21"/>
      <c r="Y15" s="21"/>
      <c r="Z15" s="21"/>
    </row>
    <row r="16" spans="1:26" s="128" customFormat="1" ht="13.5" customHeight="1" x14ac:dyDescent="0.2">
      <c r="A16" s="3"/>
      <c r="B16" s="53"/>
      <c r="C16" s="168" t="s">
        <v>54</v>
      </c>
      <c r="D16" s="168"/>
      <c r="E16" s="173">
        <v>22</v>
      </c>
      <c r="F16" s="169" t="s">
        <v>88</v>
      </c>
      <c r="G16" s="117"/>
      <c r="H16" s="126"/>
      <c r="I16" s="127"/>
      <c r="J16" s="127"/>
      <c r="K16" s="12"/>
      <c r="L16" s="127"/>
      <c r="M16" s="158"/>
      <c r="N16" s="158"/>
      <c r="O16" s="194"/>
      <c r="P16" s="194"/>
      <c r="Q16" s="158"/>
      <c r="R16" s="191"/>
      <c r="S16" s="66"/>
      <c r="T16" s="183"/>
      <c r="U16" s="127"/>
      <c r="V16" s="127"/>
      <c r="W16" s="127"/>
      <c r="X16" s="127"/>
      <c r="Y16" s="127"/>
      <c r="Z16" s="189"/>
    </row>
    <row r="17" spans="1:26" s="128" customFormat="1" ht="13.5" customHeight="1" x14ac:dyDescent="0.2">
      <c r="A17" s="3"/>
      <c r="B17" s="53"/>
      <c r="C17" s="168" t="s">
        <v>83</v>
      </c>
      <c r="D17" s="168"/>
      <c r="E17" s="178">
        <v>0.14499999999999999</v>
      </c>
      <c r="F17" s="169" t="s">
        <v>94</v>
      </c>
      <c r="G17" s="125"/>
      <c r="H17" s="125"/>
      <c r="I17" s="129"/>
      <c r="J17" s="125"/>
      <c r="K17" s="12"/>
      <c r="L17" s="125"/>
      <c r="M17" s="158"/>
      <c r="N17" s="158"/>
      <c r="O17" s="158"/>
      <c r="P17" s="125"/>
      <c r="Q17" s="125"/>
      <c r="R17" s="191"/>
      <c r="S17" s="66"/>
      <c r="T17" s="184"/>
      <c r="U17" s="125"/>
      <c r="V17" s="125"/>
      <c r="W17" s="125"/>
      <c r="X17" s="126"/>
      <c r="Y17" s="126"/>
      <c r="Z17" s="189"/>
    </row>
    <row r="18" spans="1:26" s="128" customFormat="1" ht="13.5" customHeight="1" x14ac:dyDescent="0.2">
      <c r="A18" s="3"/>
      <c r="B18" s="53"/>
      <c r="C18" s="125"/>
      <c r="D18" s="125"/>
      <c r="E18" s="125"/>
      <c r="F18" s="125"/>
      <c r="G18" s="125"/>
      <c r="H18" s="125"/>
      <c r="I18" s="129"/>
      <c r="J18" s="125"/>
      <c r="K18" s="12"/>
      <c r="L18" s="125"/>
      <c r="M18" s="158"/>
      <c r="N18" s="158"/>
      <c r="O18" s="158"/>
      <c r="P18" s="125"/>
      <c r="Q18" s="125"/>
      <c r="R18" s="191"/>
      <c r="S18" s="66"/>
      <c r="T18" s="184"/>
      <c r="U18" s="125"/>
      <c r="V18" s="125"/>
      <c r="W18" s="125"/>
      <c r="X18" s="126"/>
      <c r="Y18" s="126"/>
      <c r="Z18" s="189"/>
    </row>
    <row r="19" spans="1:26" s="128" customFormat="1" ht="13.5" customHeight="1" x14ac:dyDescent="0.2">
      <c r="A19" s="3"/>
      <c r="B19" s="53"/>
      <c r="C19" s="125"/>
      <c r="D19" s="125"/>
      <c r="E19" s="125"/>
      <c r="F19" s="125"/>
      <c r="G19" s="125"/>
      <c r="H19" s="125"/>
      <c r="I19" s="129"/>
      <c r="J19" s="125"/>
      <c r="K19" s="12"/>
      <c r="L19" s="125"/>
      <c r="M19" s="158"/>
      <c r="N19" s="158"/>
      <c r="O19" s="158"/>
      <c r="P19" s="125"/>
      <c r="Q19" s="125"/>
      <c r="R19" s="191">
        <v>0.28999999999999998</v>
      </c>
      <c r="S19" s="66"/>
      <c r="T19" s="184"/>
      <c r="U19" s="125"/>
      <c r="V19" s="125"/>
      <c r="W19" s="125"/>
      <c r="X19" s="126"/>
      <c r="Y19" s="126"/>
      <c r="Z19" s="189"/>
    </row>
    <row r="20" spans="1:26" s="128" customFormat="1" ht="13.5" customHeight="1" x14ac:dyDescent="0.2">
      <c r="A20" s="3"/>
      <c r="B20" s="53"/>
      <c r="C20" s="125"/>
      <c r="D20" s="125"/>
      <c r="E20" s="125"/>
      <c r="F20" s="125"/>
      <c r="G20" s="125"/>
      <c r="H20" s="125"/>
      <c r="I20" s="129"/>
      <c r="J20" s="125"/>
      <c r="K20" s="12"/>
      <c r="L20" s="125"/>
      <c r="M20" s="160"/>
      <c r="N20" s="126"/>
      <c r="O20" s="125"/>
      <c r="P20" s="125"/>
      <c r="Q20" s="125"/>
      <c r="R20" s="191">
        <v>0.3</v>
      </c>
      <c r="S20" s="66"/>
      <c r="T20" s="184"/>
      <c r="U20" s="125"/>
      <c r="V20" s="125"/>
      <c r="W20" s="125"/>
      <c r="X20" s="126"/>
      <c r="Y20" s="126"/>
      <c r="Z20" s="189"/>
    </row>
    <row r="21" spans="1:26" x14ac:dyDescent="0.2">
      <c r="B21" s="53"/>
      <c r="C21" s="21"/>
      <c r="D21" s="21"/>
      <c r="E21" s="61" t="s">
        <v>38</v>
      </c>
      <c r="F21" s="61" t="s">
        <v>5</v>
      </c>
      <c r="G21" s="62" t="s">
        <v>0</v>
      </c>
      <c r="H21" s="62" t="s">
        <v>15</v>
      </c>
      <c r="I21" s="61" t="s">
        <v>3</v>
      </c>
      <c r="J21" s="61"/>
      <c r="K21" s="13"/>
      <c r="M21" s="159"/>
      <c r="N21" s="162"/>
      <c r="O21" s="163"/>
      <c r="R21" s="191">
        <v>0.32</v>
      </c>
      <c r="S21" s="188"/>
      <c r="T21" s="188"/>
      <c r="U21" s="21"/>
      <c r="V21" s="21"/>
      <c r="W21" s="21"/>
      <c r="X21" s="21"/>
      <c r="Y21" s="21"/>
      <c r="Z21" s="21"/>
    </row>
    <row r="22" spans="1:26" x14ac:dyDescent="0.2">
      <c r="B22" s="53"/>
      <c r="C22" s="18" t="s">
        <v>1</v>
      </c>
      <c r="D22" s="18"/>
      <c r="E22" s="34"/>
      <c r="F22" s="63"/>
      <c r="G22" s="64" t="s">
        <v>95</v>
      </c>
      <c r="H22" s="111"/>
      <c r="I22" s="63" t="s">
        <v>4</v>
      </c>
      <c r="J22" s="63"/>
      <c r="K22" s="13"/>
      <c r="R22" s="191">
        <v>0.34</v>
      </c>
    </row>
    <row r="23" spans="1:26" ht="12.75" customHeight="1" x14ac:dyDescent="0.2">
      <c r="B23" s="53"/>
      <c r="C23" s="35" t="s">
        <v>60</v>
      </c>
      <c r="D23" s="35"/>
      <c r="E23" s="20" t="s">
        <v>16</v>
      </c>
      <c r="F23" s="41">
        <f>E11*((FAKTKOL!K2+2)-1)</f>
        <v>16</v>
      </c>
      <c r="G23" s="115">
        <f>($E$6*$E$9/(1-$E$10))</f>
        <v>919.70666666666659</v>
      </c>
      <c r="H23" s="105">
        <f>VLOOKUP(FAKTKOL!K2+2,FAKTKOL!A9:F39,6)</f>
        <v>6.193644791652974E-2</v>
      </c>
      <c r="I23" s="30">
        <f>F23*G23*H23</f>
        <v>911.41382493576282</v>
      </c>
      <c r="J23" s="30" t="s">
        <v>41</v>
      </c>
      <c r="K23" s="10"/>
      <c r="R23" s="191">
        <v>0.36</v>
      </c>
    </row>
    <row r="24" spans="1:26" ht="12.75" customHeight="1" x14ac:dyDescent="0.2">
      <c r="B24" s="53"/>
      <c r="C24" s="35" t="s">
        <v>39</v>
      </c>
      <c r="D24" s="35"/>
      <c r="E24" s="20" t="s">
        <v>16</v>
      </c>
      <c r="F24" s="41">
        <f>E12*(FAKTKOL!K3+1)</f>
        <v>30</v>
      </c>
      <c r="G24" s="115">
        <f>($E$6*$E$9/(1-$E$10))</f>
        <v>919.70666666666659</v>
      </c>
      <c r="H24" s="105">
        <f>FAKTKOL!F42</f>
        <v>0.22060271146472299</v>
      </c>
      <c r="I24" s="30">
        <f>F24*G24*H24</f>
        <v>6086.693532565464</v>
      </c>
      <c r="J24" s="30" t="s">
        <v>41</v>
      </c>
      <c r="K24" s="10"/>
      <c r="R24" s="191">
        <v>0.38</v>
      </c>
    </row>
    <row r="25" spans="1:26" ht="12.75" customHeight="1" x14ac:dyDescent="0.2">
      <c r="B25" s="53"/>
      <c r="C25" s="35" t="s">
        <v>103</v>
      </c>
      <c r="D25" s="35"/>
      <c r="E25" s="20" t="s">
        <v>47</v>
      </c>
      <c r="F25" s="41">
        <v>1</v>
      </c>
      <c r="G25" s="174"/>
      <c r="H25" s="105">
        <f>FAKTKOL!M9</f>
        <v>6.9670080549179308E-2</v>
      </c>
      <c r="I25" s="30">
        <f>G25*H25</f>
        <v>0</v>
      </c>
      <c r="J25" s="30" t="s">
        <v>41</v>
      </c>
      <c r="K25" s="10"/>
      <c r="R25" s="191">
        <v>0.4</v>
      </c>
    </row>
    <row r="26" spans="1:26" ht="12.75" customHeight="1" x14ac:dyDescent="0.2">
      <c r="B26" s="53"/>
      <c r="C26" s="3" t="s">
        <v>110</v>
      </c>
      <c r="D26" s="150"/>
      <c r="E26" s="149" t="s">
        <v>47</v>
      </c>
      <c r="F26" s="106">
        <v>1</v>
      </c>
      <c r="G26" s="181">
        <v>1900</v>
      </c>
      <c r="H26" s="105">
        <f>FAKTKOL!M41</f>
        <v>1.0000000000000004</v>
      </c>
      <c r="I26" s="30">
        <f>G26*H26</f>
        <v>1900.0000000000009</v>
      </c>
      <c r="J26" s="30" t="s">
        <v>41</v>
      </c>
      <c r="K26" s="10"/>
      <c r="R26" s="156"/>
    </row>
    <row r="27" spans="1:26" s="8" customFormat="1" ht="12.75" customHeight="1" x14ac:dyDescent="0.2">
      <c r="B27" s="65"/>
      <c r="C27" s="16" t="s">
        <v>6</v>
      </c>
      <c r="D27" s="151"/>
      <c r="E27" s="152"/>
      <c r="F27" s="153"/>
      <c r="G27" s="154"/>
      <c r="H27" s="155"/>
      <c r="I27" s="138">
        <f>SUM(I23:I26)</f>
        <v>8898.1073575012269</v>
      </c>
      <c r="J27" s="138" t="s">
        <v>41</v>
      </c>
      <c r="K27" s="14"/>
      <c r="R27" s="156"/>
      <c r="S27" s="185"/>
      <c r="T27" s="185"/>
    </row>
    <row r="28" spans="1:26" ht="12.75" customHeight="1" x14ac:dyDescent="0.2">
      <c r="B28" s="53"/>
      <c r="C28" s="34"/>
      <c r="D28" s="34"/>
      <c r="E28" s="20"/>
      <c r="F28" s="30"/>
      <c r="G28" s="39"/>
      <c r="H28" s="105"/>
      <c r="I28" s="30"/>
      <c r="J28" s="30"/>
      <c r="K28" s="10"/>
      <c r="R28" s="156"/>
    </row>
    <row r="29" spans="1:26" ht="12.75" customHeight="1" x14ac:dyDescent="0.2">
      <c r="B29" s="53"/>
      <c r="C29" s="18" t="s">
        <v>7</v>
      </c>
      <c r="D29" s="18" t="s">
        <v>21</v>
      </c>
      <c r="E29" s="19"/>
      <c r="F29" s="30"/>
      <c r="G29" s="39"/>
      <c r="H29" s="105"/>
      <c r="I29" s="30"/>
      <c r="J29" s="30"/>
      <c r="K29" s="10"/>
      <c r="R29" s="156"/>
    </row>
    <row r="30" spans="1:26" ht="12.75" customHeight="1" x14ac:dyDescent="0.2">
      <c r="B30" s="53"/>
      <c r="C30" s="137" t="s">
        <v>61</v>
      </c>
      <c r="D30" s="175">
        <v>0</v>
      </c>
      <c r="E30" s="148" t="s">
        <v>41</v>
      </c>
      <c r="F30" s="179">
        <v>1.25</v>
      </c>
      <c r="G30" s="180">
        <v>10000</v>
      </c>
      <c r="H30" s="105">
        <f>VLOOKUP(D30,FAKTKOL!$J$1:$M$39,4)</f>
        <v>6.9670080549179308E-2</v>
      </c>
      <c r="I30" s="106">
        <f t="shared" ref="I30:I38" si="0">F30*G30*H30</f>
        <v>870.87600686474138</v>
      </c>
      <c r="J30" s="106" t="s">
        <v>41</v>
      </c>
      <c r="K30" s="130"/>
      <c r="L30" s="136"/>
      <c r="M30" s="156"/>
      <c r="N30" s="136"/>
      <c r="O30" s="136"/>
      <c r="P30" s="136"/>
      <c r="Q30" s="136"/>
      <c r="R30" s="156"/>
    </row>
    <row r="31" spans="1:26" x14ac:dyDescent="0.2">
      <c r="B31" s="53"/>
      <c r="C31" s="137" t="s">
        <v>108</v>
      </c>
      <c r="D31" s="175">
        <v>0</v>
      </c>
      <c r="E31" s="148" t="s">
        <v>17</v>
      </c>
      <c r="F31" s="180">
        <v>3</v>
      </c>
      <c r="G31" s="180">
        <v>67</v>
      </c>
      <c r="H31" s="105">
        <f>VLOOKUP(D31,FAKTKOL!$J$1:$M$39,4)</f>
        <v>6.9670080549179308E-2</v>
      </c>
      <c r="I31" s="106">
        <f t="shared" si="0"/>
        <v>14.003686190385041</v>
      </c>
      <c r="J31" s="106" t="s">
        <v>41</v>
      </c>
      <c r="K31" s="130"/>
      <c r="L31" s="136"/>
      <c r="M31" s="156"/>
      <c r="N31" s="156"/>
      <c r="O31" s="136"/>
      <c r="P31" s="136"/>
      <c r="Q31" s="136"/>
      <c r="R31" s="182"/>
    </row>
    <row r="32" spans="1:26" x14ac:dyDescent="0.2">
      <c r="B32" s="53"/>
      <c r="C32" s="137" t="s">
        <v>80</v>
      </c>
      <c r="D32" s="103"/>
      <c r="E32" s="148" t="s">
        <v>81</v>
      </c>
      <c r="F32" s="180">
        <v>150</v>
      </c>
      <c r="G32" s="179">
        <v>3.23</v>
      </c>
      <c r="H32" s="105">
        <f>FAKTKOL!M9+FAKTKOL!M10</f>
        <v>0.13764089084106157</v>
      </c>
      <c r="I32" s="106">
        <f>F32*G32*H32</f>
        <v>66.687011612494331</v>
      </c>
      <c r="J32" s="106" t="s">
        <v>41</v>
      </c>
      <c r="K32" s="130"/>
      <c r="L32" s="136"/>
      <c r="M32" s="156"/>
      <c r="N32" s="156"/>
      <c r="O32" s="136"/>
      <c r="P32" s="136"/>
      <c r="Q32" s="136"/>
      <c r="R32" s="182"/>
    </row>
    <row r="33" spans="2:18" x14ac:dyDescent="0.2">
      <c r="B33" s="53"/>
      <c r="C33" s="137" t="s">
        <v>109</v>
      </c>
      <c r="D33" s="137"/>
      <c r="E33" s="148" t="s">
        <v>17</v>
      </c>
      <c r="F33" s="180">
        <v>3</v>
      </c>
      <c r="G33" s="180">
        <v>67</v>
      </c>
      <c r="H33" s="145">
        <f>FAKTKOL!$S$41</f>
        <v>0.28046708669325121</v>
      </c>
      <c r="I33" s="106">
        <f>F33*G33*H33</f>
        <v>56.373884425343491</v>
      </c>
      <c r="J33" s="106" t="s">
        <v>41</v>
      </c>
      <c r="K33" s="130"/>
      <c r="L33" s="136"/>
      <c r="M33" s="156"/>
      <c r="N33" s="156"/>
      <c r="O33" s="136"/>
      <c r="P33" s="136"/>
      <c r="Q33" s="136"/>
      <c r="R33" s="182"/>
    </row>
    <row r="34" spans="2:18" x14ac:dyDescent="0.2">
      <c r="B34" s="53"/>
      <c r="C34" s="137" t="s">
        <v>75</v>
      </c>
      <c r="D34" s="175">
        <v>1</v>
      </c>
      <c r="E34" s="148" t="s">
        <v>2</v>
      </c>
      <c r="F34" s="180">
        <v>120</v>
      </c>
      <c r="G34" s="179">
        <v>23</v>
      </c>
      <c r="H34" s="105">
        <f>VLOOKUP(D34,FAKTKOL!$J$1:$M$39,4)</f>
        <v>6.7970810291882261E-2</v>
      </c>
      <c r="I34" s="106">
        <f t="shared" si="0"/>
        <v>187.59943640559504</v>
      </c>
      <c r="J34" s="106" t="s">
        <v>41</v>
      </c>
      <c r="K34" s="130"/>
      <c r="L34" s="136"/>
      <c r="M34" s="156"/>
      <c r="N34" s="156"/>
      <c r="O34" s="136"/>
      <c r="P34" s="136"/>
      <c r="Q34" s="136"/>
      <c r="R34" s="182"/>
    </row>
    <row r="35" spans="2:18" x14ac:dyDescent="0.2">
      <c r="B35" s="53"/>
      <c r="C35" s="137" t="s">
        <v>71</v>
      </c>
      <c r="D35" s="137"/>
      <c r="E35" s="148" t="s">
        <v>2</v>
      </c>
      <c r="F35" s="180">
        <v>120</v>
      </c>
      <c r="G35" s="179">
        <v>23</v>
      </c>
      <c r="H35" s="105">
        <f>FAKTKOL!$S$41</f>
        <v>0.28046708669325121</v>
      </c>
      <c r="I35" s="106">
        <f t="shared" si="0"/>
        <v>774.0891592733733</v>
      </c>
      <c r="J35" s="106" t="s">
        <v>41</v>
      </c>
      <c r="K35" s="130"/>
      <c r="L35" s="136"/>
      <c r="M35" s="156"/>
      <c r="N35" s="156"/>
      <c r="O35" s="136"/>
      <c r="P35" s="136"/>
      <c r="Q35" s="136"/>
      <c r="R35" s="182"/>
    </row>
    <row r="36" spans="2:18" x14ac:dyDescent="0.2">
      <c r="B36" s="53"/>
      <c r="C36" s="137" t="s">
        <v>102</v>
      </c>
      <c r="D36" s="137"/>
      <c r="E36" s="148" t="s">
        <v>2</v>
      </c>
      <c r="F36" s="180">
        <v>0</v>
      </c>
      <c r="G36" s="179">
        <v>23</v>
      </c>
      <c r="H36" s="105">
        <f>FAKTKOL!$AE$41</f>
        <v>0.27362642604219628</v>
      </c>
      <c r="I36" s="106">
        <f>F36*G36*H36</f>
        <v>0</v>
      </c>
      <c r="J36" s="106" t="s">
        <v>41</v>
      </c>
      <c r="K36" s="130"/>
      <c r="L36" s="136"/>
      <c r="M36" s="156"/>
      <c r="N36" s="156"/>
      <c r="O36" s="136"/>
      <c r="P36" s="136"/>
      <c r="Q36" s="136"/>
      <c r="R36" s="182"/>
    </row>
    <row r="37" spans="2:18" x14ac:dyDescent="0.2">
      <c r="B37" s="53"/>
      <c r="C37" s="137" t="s">
        <v>100</v>
      </c>
      <c r="D37" s="137"/>
      <c r="E37" s="148" t="s">
        <v>2</v>
      </c>
      <c r="F37" s="180">
        <v>15</v>
      </c>
      <c r="G37" s="179">
        <v>23</v>
      </c>
      <c r="H37" s="105">
        <f>FAKTKOL!$S$41+FAKTKOL!$M$10</f>
        <v>0.3484378969851335</v>
      </c>
      <c r="I37" s="106">
        <f t="shared" si="0"/>
        <v>120.21107445987106</v>
      </c>
      <c r="J37" s="106" t="s">
        <v>41</v>
      </c>
      <c r="K37" s="130"/>
      <c r="L37" s="136"/>
      <c r="M37" s="156"/>
      <c r="N37" s="156"/>
      <c r="O37" s="136"/>
      <c r="P37" s="136"/>
      <c r="Q37" s="136"/>
    </row>
    <row r="38" spans="2:18" x14ac:dyDescent="0.2">
      <c r="B38" s="53"/>
      <c r="C38" s="137" t="s">
        <v>101</v>
      </c>
      <c r="D38" s="137"/>
      <c r="E38" s="149" t="s">
        <v>2</v>
      </c>
      <c r="F38" s="180">
        <v>50</v>
      </c>
      <c r="G38" s="179">
        <v>14</v>
      </c>
      <c r="H38" s="105">
        <f>FAKTKOL!$S$41+FAKTKOL!$M$10</f>
        <v>0.3484378969851335</v>
      </c>
      <c r="I38" s="106">
        <f t="shared" si="0"/>
        <v>243.90652788959346</v>
      </c>
      <c r="J38" s="106" t="s">
        <v>41</v>
      </c>
      <c r="K38" s="131"/>
      <c r="L38" s="136"/>
      <c r="M38" s="156"/>
      <c r="N38" s="156"/>
      <c r="O38" s="136"/>
      <c r="P38" s="136"/>
      <c r="Q38" s="136"/>
    </row>
    <row r="39" spans="2:18" ht="5.25" customHeight="1" x14ac:dyDescent="0.2">
      <c r="B39" s="53"/>
      <c r="C39" s="35"/>
      <c r="D39" s="35"/>
      <c r="E39" s="20"/>
      <c r="F39" s="30"/>
      <c r="G39" s="39"/>
      <c r="H39" s="105"/>
      <c r="I39" s="106"/>
      <c r="J39" s="106"/>
      <c r="K39" s="132"/>
      <c r="L39" s="136"/>
      <c r="M39" s="136"/>
      <c r="N39" s="136"/>
      <c r="O39" s="136"/>
      <c r="P39" s="136"/>
      <c r="Q39" s="136"/>
    </row>
    <row r="40" spans="2:18" x14ac:dyDescent="0.2">
      <c r="B40" s="53"/>
      <c r="C40" s="16" t="s">
        <v>8</v>
      </c>
      <c r="D40" s="16"/>
      <c r="E40" s="17"/>
      <c r="F40" s="139"/>
      <c r="G40" s="9"/>
      <c r="H40" s="146"/>
      <c r="I40" s="147">
        <f>SUM(I30:I39)</f>
        <v>2333.7467871213976</v>
      </c>
      <c r="J40" s="147" t="s">
        <v>41</v>
      </c>
      <c r="K40" s="133"/>
      <c r="L40" s="136"/>
      <c r="M40" s="136"/>
      <c r="N40" s="136"/>
      <c r="O40" s="136"/>
      <c r="P40" s="136"/>
      <c r="Q40" s="136"/>
    </row>
    <row r="41" spans="2:18" ht="6.75" customHeight="1" x14ac:dyDescent="0.2">
      <c r="B41" s="53"/>
      <c r="C41" s="21"/>
      <c r="D41" s="21"/>
      <c r="E41" s="40"/>
      <c r="F41" s="21"/>
      <c r="G41" s="21"/>
      <c r="H41" s="21"/>
      <c r="I41" s="21"/>
      <c r="J41" s="21"/>
      <c r="K41" s="134"/>
      <c r="L41" s="136"/>
      <c r="M41" s="136"/>
      <c r="N41" s="136"/>
      <c r="O41" s="136"/>
      <c r="P41" s="136"/>
      <c r="Q41" s="136"/>
    </row>
    <row r="42" spans="2:18" ht="13.5" thickBot="1" x14ac:dyDescent="0.25">
      <c r="B42" s="53"/>
      <c r="C42" s="18" t="s">
        <v>53</v>
      </c>
      <c r="D42" s="18"/>
      <c r="E42" s="19"/>
      <c r="F42" s="124"/>
      <c r="G42" s="21"/>
      <c r="H42" s="124"/>
      <c r="I42" s="73">
        <f>I27-I40</f>
        <v>6564.3605703798294</v>
      </c>
      <c r="J42" s="73" t="s">
        <v>41</v>
      </c>
      <c r="K42" s="133"/>
      <c r="L42" s="136"/>
      <c r="M42" s="136"/>
      <c r="N42" s="136"/>
      <c r="O42" s="136"/>
      <c r="P42" s="136"/>
      <c r="Q42" s="136"/>
    </row>
    <row r="43" spans="2:18" ht="6" customHeight="1" x14ac:dyDescent="0.2">
      <c r="B43" s="53"/>
      <c r="C43" s="21"/>
      <c r="D43" s="21"/>
      <c r="E43" s="20"/>
      <c r="F43" s="30"/>
      <c r="G43" s="34"/>
      <c r="H43" s="105"/>
      <c r="I43" s="30"/>
      <c r="J43" s="30"/>
      <c r="K43" s="132"/>
      <c r="L43" s="136"/>
      <c r="M43" s="136"/>
      <c r="N43" s="136"/>
      <c r="O43" s="136"/>
      <c r="P43" s="136"/>
      <c r="Q43" s="136"/>
    </row>
    <row r="44" spans="2:18" x14ac:dyDescent="0.2">
      <c r="B44" s="53"/>
      <c r="C44" s="18" t="s">
        <v>9</v>
      </c>
      <c r="D44" s="18"/>
      <c r="E44" s="40"/>
      <c r="F44" s="120"/>
      <c r="G44" s="118"/>
      <c r="H44" s="122"/>
      <c r="I44" s="120"/>
      <c r="J44" s="120"/>
      <c r="K44" s="134"/>
      <c r="L44" s="136"/>
      <c r="M44" s="156"/>
      <c r="N44" s="136"/>
      <c r="O44" s="136"/>
      <c r="P44" s="136"/>
      <c r="Q44" s="136"/>
    </row>
    <row r="45" spans="2:18" x14ac:dyDescent="0.2">
      <c r="B45" s="53"/>
      <c r="C45" s="137" t="s">
        <v>62</v>
      </c>
      <c r="D45" s="175">
        <v>0</v>
      </c>
      <c r="E45" s="149" t="s">
        <v>11</v>
      </c>
      <c r="F45" s="180">
        <v>1</v>
      </c>
      <c r="G45" s="180">
        <v>650</v>
      </c>
      <c r="H45" s="105">
        <f>VLOOKUP(D45,FAKTKOL!$J$9:$M$39,4)</f>
        <v>6.9670080549179308E-2</v>
      </c>
      <c r="I45" s="106">
        <f t="shared" ref="I45:I60" si="1">F45*G45*H45</f>
        <v>45.285552356966548</v>
      </c>
      <c r="J45" s="106" t="s">
        <v>41</v>
      </c>
      <c r="K45" s="132"/>
      <c r="L45" s="136"/>
      <c r="M45" s="165"/>
      <c r="N45" s="156"/>
      <c r="O45" s="136"/>
      <c r="P45" s="136"/>
      <c r="Q45" s="136"/>
    </row>
    <row r="46" spans="2:18" x14ac:dyDescent="0.2">
      <c r="B46" s="53"/>
      <c r="C46" s="137" t="s">
        <v>63</v>
      </c>
      <c r="D46" s="175">
        <v>0</v>
      </c>
      <c r="E46" s="149" t="s">
        <v>11</v>
      </c>
      <c r="F46" s="180">
        <v>1</v>
      </c>
      <c r="G46" s="180">
        <v>225</v>
      </c>
      <c r="H46" s="105">
        <f>VLOOKUP(D46,FAKTKOL!$J$9:$M$39,4)</f>
        <v>6.9670080549179308E-2</v>
      </c>
      <c r="I46" s="106">
        <f t="shared" si="1"/>
        <v>15.675768123565344</v>
      </c>
      <c r="J46" s="106" t="s">
        <v>41</v>
      </c>
      <c r="K46" s="132"/>
      <c r="L46" s="136"/>
      <c r="M46" s="165"/>
      <c r="N46" s="156"/>
      <c r="O46" s="136"/>
      <c r="P46" s="136"/>
      <c r="Q46" s="136"/>
    </row>
    <row r="47" spans="2:18" x14ac:dyDescent="0.2">
      <c r="B47" s="53"/>
      <c r="C47" s="137" t="s">
        <v>64</v>
      </c>
      <c r="D47" s="175">
        <v>0</v>
      </c>
      <c r="E47" s="149" t="s">
        <v>11</v>
      </c>
      <c r="F47" s="180">
        <v>1</v>
      </c>
      <c r="G47" s="180">
        <v>175</v>
      </c>
      <c r="H47" s="105">
        <f>VLOOKUP(D47,FAKTKOL!$J$9:$M$39,4)</f>
        <v>6.9670080549179308E-2</v>
      </c>
      <c r="I47" s="106">
        <f t="shared" si="1"/>
        <v>12.19226409610638</v>
      </c>
      <c r="J47" s="106" t="s">
        <v>41</v>
      </c>
      <c r="K47" s="131"/>
      <c r="L47" s="136"/>
      <c r="M47" s="165"/>
      <c r="N47" s="156"/>
      <c r="O47" s="136"/>
      <c r="P47" s="136"/>
      <c r="Q47" s="136"/>
    </row>
    <row r="48" spans="2:18" x14ac:dyDescent="0.2">
      <c r="B48" s="53"/>
      <c r="C48" s="137" t="s">
        <v>82</v>
      </c>
      <c r="D48" s="114"/>
      <c r="E48" s="149" t="s">
        <v>11</v>
      </c>
      <c r="F48" s="180">
        <v>2</v>
      </c>
      <c r="G48" s="180">
        <v>140</v>
      </c>
      <c r="H48" s="105">
        <f>FAKTKOL!M9+FAKTKOL!M10</f>
        <v>0.13764089084106157</v>
      </c>
      <c r="I48" s="106">
        <f t="shared" si="1"/>
        <v>38.539449435497239</v>
      </c>
      <c r="J48" s="106" t="s">
        <v>41</v>
      </c>
      <c r="K48" s="131"/>
      <c r="L48" s="136"/>
      <c r="M48" s="165"/>
      <c r="N48" s="156"/>
      <c r="O48" s="136"/>
      <c r="P48" s="136"/>
      <c r="Q48" s="136"/>
    </row>
    <row r="49" spans="2:17" x14ac:dyDescent="0.2">
      <c r="B49" s="53"/>
      <c r="C49" s="137" t="s">
        <v>104</v>
      </c>
      <c r="D49" s="143"/>
      <c r="E49" s="149" t="s">
        <v>11</v>
      </c>
      <c r="F49" s="180">
        <v>0</v>
      </c>
      <c r="G49" s="180">
        <v>140</v>
      </c>
      <c r="H49" s="145">
        <f>FAKTKOL!$S$41</f>
        <v>0.28046708669325121</v>
      </c>
      <c r="I49" s="106">
        <f t="shared" si="1"/>
        <v>0</v>
      </c>
      <c r="J49" s="106" t="s">
        <v>41</v>
      </c>
      <c r="K49" s="132"/>
      <c r="L49" s="136"/>
      <c r="M49" s="165"/>
      <c r="N49" s="156"/>
      <c r="O49" s="136"/>
      <c r="P49" s="136"/>
      <c r="Q49" s="136"/>
    </row>
    <row r="50" spans="2:17" x14ac:dyDescent="0.2">
      <c r="B50" s="53"/>
      <c r="C50" s="137" t="s">
        <v>55</v>
      </c>
      <c r="D50" s="114"/>
      <c r="E50" s="149" t="s">
        <v>11</v>
      </c>
      <c r="F50" s="180">
        <v>0</v>
      </c>
      <c r="G50" s="180">
        <v>200</v>
      </c>
      <c r="H50" s="105">
        <f>FAKTKOL!M10</f>
        <v>6.7970810291882261E-2</v>
      </c>
      <c r="I50" s="106">
        <f>F50*G50*H50</f>
        <v>0</v>
      </c>
      <c r="J50" s="106" t="s">
        <v>41</v>
      </c>
      <c r="K50" s="131"/>
      <c r="L50" s="136"/>
      <c r="M50" s="165"/>
      <c r="N50" s="156"/>
      <c r="O50" s="136"/>
      <c r="P50" s="136"/>
      <c r="Q50" s="136"/>
    </row>
    <row r="51" spans="2:17" x14ac:dyDescent="0.2">
      <c r="B51" s="53"/>
      <c r="C51" s="137" t="s">
        <v>76</v>
      </c>
      <c r="D51" s="175">
        <v>0</v>
      </c>
      <c r="E51" s="149" t="s">
        <v>11</v>
      </c>
      <c r="F51" s="180">
        <v>5</v>
      </c>
      <c r="G51" s="180">
        <v>140</v>
      </c>
      <c r="H51" s="105">
        <f>VLOOKUP(D51,FAKTKOL!$J$9:$M$39,4)</f>
        <v>6.9670080549179308E-2</v>
      </c>
      <c r="I51" s="106">
        <f t="shared" si="1"/>
        <v>48.769056384425518</v>
      </c>
      <c r="J51" s="106" t="s">
        <v>41</v>
      </c>
      <c r="K51" s="132"/>
      <c r="L51" s="136"/>
      <c r="M51" s="165"/>
      <c r="N51" s="156"/>
      <c r="O51" s="136"/>
      <c r="P51" s="136"/>
      <c r="Q51" s="136"/>
    </row>
    <row r="52" spans="2:17" x14ac:dyDescent="0.2">
      <c r="B52" s="53"/>
      <c r="C52" s="137" t="s">
        <v>77</v>
      </c>
      <c r="D52" s="175">
        <v>1</v>
      </c>
      <c r="E52" s="149" t="s">
        <v>11</v>
      </c>
      <c r="F52" s="180">
        <v>0</v>
      </c>
      <c r="G52" s="180">
        <v>140</v>
      </c>
      <c r="H52" s="105">
        <f>VLOOKUP(D52,FAKTKOL!$J$9:$M$39,4)</f>
        <v>6.7970810291882261E-2</v>
      </c>
      <c r="I52" s="106">
        <f t="shared" ref="I52" si="2">F52*G52*H52</f>
        <v>0</v>
      </c>
      <c r="J52" s="106" t="s">
        <v>41</v>
      </c>
      <c r="K52" s="132"/>
      <c r="L52" s="136"/>
      <c r="M52" s="165"/>
      <c r="N52" s="156"/>
      <c r="O52" s="136"/>
      <c r="P52" s="136"/>
      <c r="Q52" s="136"/>
    </row>
    <row r="53" spans="2:17" x14ac:dyDescent="0.2">
      <c r="B53" s="53"/>
      <c r="C53" s="137" t="s">
        <v>78</v>
      </c>
      <c r="D53" s="175">
        <v>0</v>
      </c>
      <c r="E53" s="149" t="s">
        <v>11</v>
      </c>
      <c r="F53" s="180">
        <v>1</v>
      </c>
      <c r="G53" s="180">
        <v>425</v>
      </c>
      <c r="H53" s="105">
        <f>VLOOKUP(D53,FAKTKOL!$J$9:$M$39,4)</f>
        <v>6.9670080549179308E-2</v>
      </c>
      <c r="I53" s="106">
        <f t="shared" si="1"/>
        <v>29.609784233401207</v>
      </c>
      <c r="J53" s="106" t="s">
        <v>41</v>
      </c>
      <c r="K53" s="132"/>
      <c r="L53" s="136"/>
      <c r="M53" s="165"/>
      <c r="N53" s="156"/>
      <c r="O53" s="136"/>
      <c r="P53" s="136"/>
      <c r="Q53" s="136"/>
    </row>
    <row r="54" spans="2:17" x14ac:dyDescent="0.2">
      <c r="B54" s="53"/>
      <c r="C54" s="137" t="s">
        <v>79</v>
      </c>
      <c r="D54" s="175">
        <v>1</v>
      </c>
      <c r="E54" s="149" t="s">
        <v>11</v>
      </c>
      <c r="F54" s="180">
        <v>2</v>
      </c>
      <c r="G54" s="180">
        <v>425</v>
      </c>
      <c r="H54" s="105">
        <f>VLOOKUP(D54,FAKTKOL!$J$9:$M$39,4)</f>
        <v>6.7970810291882261E-2</v>
      </c>
      <c r="I54" s="106">
        <f t="shared" ref="I54" si="3">F54*G54*H54</f>
        <v>57.775188748099922</v>
      </c>
      <c r="J54" s="106" t="s">
        <v>41</v>
      </c>
      <c r="K54" s="132"/>
      <c r="L54" s="136"/>
      <c r="M54" s="165"/>
      <c r="N54" s="156"/>
      <c r="O54" s="136"/>
      <c r="P54" s="136"/>
      <c r="Q54" s="136"/>
    </row>
    <row r="55" spans="2:17" x14ac:dyDescent="0.2">
      <c r="B55" s="53"/>
      <c r="C55" s="137" t="s">
        <v>52</v>
      </c>
      <c r="D55" s="66"/>
      <c r="E55" s="149" t="s">
        <v>19</v>
      </c>
      <c r="F55" s="180">
        <v>1</v>
      </c>
      <c r="G55" s="180">
        <v>600</v>
      </c>
      <c r="H55" s="105">
        <f>FAKTKOL!$S$41</f>
        <v>0.28046708669325121</v>
      </c>
      <c r="I55" s="106">
        <f>F55*G55*H55</f>
        <v>168.28025201595074</v>
      </c>
      <c r="J55" s="106" t="s">
        <v>41</v>
      </c>
      <c r="K55" s="131"/>
      <c r="L55" s="136"/>
      <c r="M55" s="165"/>
      <c r="N55" s="156"/>
      <c r="O55" s="136"/>
      <c r="P55" s="136"/>
      <c r="Q55" s="136"/>
    </row>
    <row r="56" spans="2:17" x14ac:dyDescent="0.2">
      <c r="B56" s="53"/>
      <c r="C56" s="35" t="s">
        <v>107</v>
      </c>
      <c r="D56" s="66"/>
      <c r="E56" s="149" t="s">
        <v>19</v>
      </c>
      <c r="F56" s="180">
        <v>0</v>
      </c>
      <c r="G56" s="180">
        <v>500</v>
      </c>
      <c r="H56" s="105">
        <f>FAKTKOL!$S$41</f>
        <v>0.28046708669325121</v>
      </c>
      <c r="I56" s="106">
        <f>F56*G56*H56</f>
        <v>0</v>
      </c>
      <c r="J56" s="106" t="s">
        <v>41</v>
      </c>
      <c r="K56" s="131"/>
      <c r="L56" s="136"/>
      <c r="M56" s="165"/>
      <c r="N56" s="156"/>
      <c r="O56" s="136"/>
      <c r="P56" s="136"/>
      <c r="Q56" s="136"/>
    </row>
    <row r="57" spans="2:17" x14ac:dyDescent="0.2">
      <c r="B57" s="53"/>
      <c r="C57" s="137" t="s">
        <v>105</v>
      </c>
      <c r="D57" s="144"/>
      <c r="E57" s="149" t="s">
        <v>11</v>
      </c>
      <c r="F57" s="180">
        <v>1</v>
      </c>
      <c r="G57" s="180">
        <v>100</v>
      </c>
      <c r="H57" s="145">
        <f>FAKTKOL!M10</f>
        <v>6.7970810291882261E-2</v>
      </c>
      <c r="I57" s="106">
        <f t="shared" ref="I57" si="4">F57*G57*H57</f>
        <v>6.7970810291882264</v>
      </c>
      <c r="J57" s="106" t="s">
        <v>41</v>
      </c>
      <c r="K57" s="132"/>
      <c r="L57" s="136"/>
      <c r="M57" s="165"/>
      <c r="N57" s="156"/>
      <c r="O57" s="136"/>
      <c r="P57" s="136"/>
      <c r="Q57" s="136"/>
    </row>
    <row r="58" spans="2:17" x14ac:dyDescent="0.2">
      <c r="B58" s="53"/>
      <c r="C58" s="137" t="s">
        <v>73</v>
      </c>
      <c r="D58" s="35"/>
      <c r="E58" s="149" t="s">
        <v>11</v>
      </c>
      <c r="F58" s="180">
        <v>1</v>
      </c>
      <c r="G58" s="180">
        <v>100</v>
      </c>
      <c r="H58" s="105">
        <f>FAKTKOL!$S$41</f>
        <v>0.28046708669325121</v>
      </c>
      <c r="I58" s="106">
        <f t="shared" si="1"/>
        <v>28.04670866932512</v>
      </c>
      <c r="J58" s="106" t="s">
        <v>41</v>
      </c>
      <c r="K58" s="132"/>
      <c r="L58" s="136"/>
      <c r="M58" s="165"/>
      <c r="N58" s="156"/>
      <c r="O58" s="136"/>
      <c r="P58" s="136"/>
      <c r="Q58" s="136"/>
    </row>
    <row r="59" spans="2:17" x14ac:dyDescent="0.2">
      <c r="B59" s="53"/>
      <c r="C59" s="137" t="s">
        <v>74</v>
      </c>
      <c r="D59" s="35"/>
      <c r="E59" s="149" t="s">
        <v>11</v>
      </c>
      <c r="F59" s="180">
        <v>0</v>
      </c>
      <c r="G59" s="180">
        <v>100</v>
      </c>
      <c r="H59" s="105">
        <f>FAKTKOL!$AE$41</f>
        <v>0.27362642604219628</v>
      </c>
      <c r="I59" s="106">
        <f>F59*G59*H59</f>
        <v>0</v>
      </c>
      <c r="J59" s="106" t="s">
        <v>41</v>
      </c>
      <c r="K59" s="131"/>
      <c r="L59" s="136"/>
      <c r="M59" s="165"/>
      <c r="N59" s="156"/>
      <c r="O59" s="136"/>
      <c r="P59" s="136"/>
      <c r="Q59" s="136"/>
    </row>
    <row r="60" spans="2:17" x14ac:dyDescent="0.2">
      <c r="B60" s="53"/>
      <c r="C60" s="137" t="s">
        <v>45</v>
      </c>
      <c r="D60" s="35">
        <f>E3</f>
        <v>18</v>
      </c>
      <c r="E60" s="149" t="s">
        <v>11</v>
      </c>
      <c r="F60" s="180">
        <v>1</v>
      </c>
      <c r="G60" s="180">
        <v>10000</v>
      </c>
      <c r="H60" s="105">
        <f>VLOOKUP(D60,FAKTKOL!$J$9:$M$39,4)</f>
        <v>4.4670080549179349E-2</v>
      </c>
      <c r="I60" s="106">
        <f t="shared" si="1"/>
        <v>446.70080549179346</v>
      </c>
      <c r="J60" s="106" t="s">
        <v>41</v>
      </c>
      <c r="K60" s="131"/>
      <c r="L60" s="136"/>
      <c r="M60" s="165"/>
      <c r="N60" s="156"/>
      <c r="O60" s="136"/>
      <c r="P60" s="136"/>
      <c r="Q60" s="136"/>
    </row>
    <row r="61" spans="2:17" ht="5.25" customHeight="1" x14ac:dyDescent="0.2">
      <c r="B61" s="53"/>
      <c r="C61" s="35"/>
      <c r="D61" s="35"/>
      <c r="E61" s="149"/>
      <c r="F61" s="30"/>
      <c r="G61" s="30"/>
      <c r="H61" s="105"/>
      <c r="I61" s="30"/>
      <c r="J61" s="30"/>
      <c r="K61" s="132"/>
      <c r="L61" s="136"/>
      <c r="M61" s="136"/>
      <c r="N61" s="136"/>
      <c r="O61" s="136"/>
      <c r="P61" s="136"/>
      <c r="Q61" s="136"/>
    </row>
    <row r="62" spans="2:17" x14ac:dyDescent="0.2">
      <c r="B62" s="53"/>
      <c r="C62" s="44" t="s">
        <v>18</v>
      </c>
      <c r="D62" s="84"/>
      <c r="E62" s="20"/>
      <c r="F62" s="121"/>
      <c r="G62" s="21"/>
      <c r="H62" s="123"/>
      <c r="I62" s="21"/>
      <c r="J62" s="119"/>
      <c r="K62" s="132"/>
      <c r="L62" s="136"/>
      <c r="M62" s="136"/>
      <c r="N62" s="136"/>
      <c r="O62" s="136"/>
      <c r="P62" s="136"/>
      <c r="Q62" s="136"/>
    </row>
    <row r="63" spans="2:17" x14ac:dyDescent="0.2">
      <c r="B63" s="53"/>
      <c r="C63" s="35" t="s">
        <v>65</v>
      </c>
      <c r="D63" s="83"/>
      <c r="E63" s="20" t="s">
        <v>91</v>
      </c>
      <c r="F63" s="98">
        <f>$F$23</f>
        <v>16</v>
      </c>
      <c r="G63" s="116">
        <v>300</v>
      </c>
      <c r="H63" s="105">
        <f>VLOOKUP((FAKTKOL!$K$2+2),FAKTKOL!$J$9:$M$39,4)</f>
        <v>6.4695595756699351E-2</v>
      </c>
      <c r="I63" s="30">
        <f t="shared" ref="I63:I70" si="5">F63*G63*H63</f>
        <v>310.53885963215686</v>
      </c>
      <c r="J63" s="30" t="s">
        <v>41</v>
      </c>
      <c r="K63" s="132"/>
      <c r="L63" s="136"/>
      <c r="M63" s="136"/>
      <c r="N63" s="136"/>
      <c r="O63" s="136"/>
      <c r="P63" s="136"/>
      <c r="Q63" s="136"/>
    </row>
    <row r="64" spans="2:17" x14ac:dyDescent="0.2">
      <c r="B64" s="53"/>
      <c r="C64" s="66" t="s">
        <v>66</v>
      </c>
      <c r="D64" s="66"/>
      <c r="E64" s="20" t="s">
        <v>91</v>
      </c>
      <c r="F64" s="98">
        <f>$F$24</f>
        <v>30</v>
      </c>
      <c r="G64" s="116">
        <v>300</v>
      </c>
      <c r="H64" s="105">
        <f>FAKTKOL!$F$42</f>
        <v>0.22060271146472299</v>
      </c>
      <c r="I64" s="30">
        <f t="shared" si="5"/>
        <v>1985.4244031825069</v>
      </c>
      <c r="J64" s="30" t="s">
        <v>41</v>
      </c>
      <c r="K64" s="131"/>
      <c r="L64" s="136"/>
      <c r="M64" s="136"/>
      <c r="N64" s="136"/>
      <c r="O64" s="136"/>
      <c r="P64" s="136"/>
      <c r="Q64" s="136"/>
    </row>
    <row r="65" spans="2:20" s="107" customFormat="1" x14ac:dyDescent="0.2">
      <c r="B65" s="101"/>
      <c r="C65" s="102" t="s">
        <v>89</v>
      </c>
      <c r="D65" s="103"/>
      <c r="E65" s="20" t="s">
        <v>91</v>
      </c>
      <c r="F65" s="104">
        <f>$F$23</f>
        <v>16</v>
      </c>
      <c r="G65" s="180"/>
      <c r="H65" s="105">
        <f>VLOOKUP((FAKTKOL!$K$2+2),FAKTKOL!$J$9:$M$39,4)</f>
        <v>6.4695595756699351E-2</v>
      </c>
      <c r="I65" s="106">
        <f t="shared" si="5"/>
        <v>0</v>
      </c>
      <c r="J65" s="106" t="s">
        <v>41</v>
      </c>
      <c r="K65" s="130"/>
      <c r="L65" s="136"/>
      <c r="M65" s="136"/>
      <c r="N65" s="136"/>
      <c r="O65" s="136"/>
      <c r="P65" s="136"/>
      <c r="Q65" s="136"/>
      <c r="R65" s="52"/>
      <c r="S65" s="186"/>
      <c r="T65" s="186"/>
    </row>
    <row r="66" spans="2:20" s="107" customFormat="1" x14ac:dyDescent="0.2">
      <c r="B66" s="101"/>
      <c r="C66" s="102" t="s">
        <v>90</v>
      </c>
      <c r="D66" s="102"/>
      <c r="E66" s="20" t="s">
        <v>91</v>
      </c>
      <c r="F66" s="104">
        <f>$F$24</f>
        <v>30</v>
      </c>
      <c r="G66" s="180"/>
      <c r="H66" s="105">
        <f>FAKTKOL!$F$42</f>
        <v>0.22060271146472299</v>
      </c>
      <c r="I66" s="106">
        <f t="shared" si="5"/>
        <v>0</v>
      </c>
      <c r="J66" s="106" t="s">
        <v>41</v>
      </c>
      <c r="K66" s="130"/>
      <c r="L66" s="136"/>
      <c r="M66" s="136"/>
      <c r="N66" s="136"/>
      <c r="O66" s="136"/>
      <c r="P66" s="136"/>
      <c r="Q66" s="136"/>
      <c r="R66" s="52"/>
      <c r="S66" s="186"/>
      <c r="T66" s="186"/>
    </row>
    <row r="67" spans="2:20" x14ac:dyDescent="0.2">
      <c r="B67" s="53"/>
      <c r="C67" s="66" t="s">
        <v>67</v>
      </c>
      <c r="D67" s="66"/>
      <c r="E67" s="20" t="s">
        <v>91</v>
      </c>
      <c r="F67" s="98">
        <f>$F$23</f>
        <v>16</v>
      </c>
      <c r="G67" s="116">
        <v>190</v>
      </c>
      <c r="H67" s="105">
        <f>VLOOKUP((FAKTKOL!$K$2+2),FAKTKOL!$J$9:$M$39,4)</f>
        <v>6.4695595756699351E-2</v>
      </c>
      <c r="I67" s="30">
        <f t="shared" si="5"/>
        <v>196.67461110036604</v>
      </c>
      <c r="J67" s="30" t="s">
        <v>41</v>
      </c>
      <c r="K67" s="130"/>
      <c r="L67" s="136"/>
      <c r="M67" s="136"/>
      <c r="N67" s="136"/>
      <c r="O67" s="136"/>
      <c r="P67" s="136"/>
      <c r="Q67" s="136"/>
    </row>
    <row r="68" spans="2:20" x14ac:dyDescent="0.2">
      <c r="B68" s="53"/>
      <c r="C68" s="66" t="s">
        <v>68</v>
      </c>
      <c r="D68" s="66"/>
      <c r="E68" s="20" t="s">
        <v>91</v>
      </c>
      <c r="F68" s="98">
        <f>$F$24</f>
        <v>30</v>
      </c>
      <c r="G68" s="116">
        <v>190</v>
      </c>
      <c r="H68" s="105">
        <f>FAKTKOL!$F$42</f>
        <v>0.22060271146472299</v>
      </c>
      <c r="I68" s="30">
        <f t="shared" si="5"/>
        <v>1257.4354553489211</v>
      </c>
      <c r="J68" s="30" t="s">
        <v>41</v>
      </c>
      <c r="K68" s="131"/>
      <c r="L68" s="136"/>
      <c r="M68" s="136"/>
      <c r="N68" s="136"/>
      <c r="O68" s="136"/>
      <c r="P68" s="136"/>
      <c r="Q68" s="136"/>
    </row>
    <row r="69" spans="2:20" x14ac:dyDescent="0.2">
      <c r="B69" s="53"/>
      <c r="C69" s="35" t="s">
        <v>69</v>
      </c>
      <c r="D69" s="83"/>
      <c r="E69" s="20" t="s">
        <v>91</v>
      </c>
      <c r="F69" s="104">
        <f>$F$23</f>
        <v>16</v>
      </c>
      <c r="G69" s="116">
        <v>250</v>
      </c>
      <c r="H69" s="105">
        <f>VLOOKUP((FAKTKOL!$K$2+2),FAKTKOL!$J$9:$M$39,4)</f>
        <v>6.4695595756699351E-2</v>
      </c>
      <c r="I69" s="30">
        <f t="shared" si="5"/>
        <v>258.78238302679739</v>
      </c>
      <c r="J69" s="30" t="s">
        <v>41</v>
      </c>
      <c r="K69" s="130"/>
      <c r="L69" s="136"/>
      <c r="M69" s="136"/>
      <c r="N69" s="136"/>
      <c r="O69" s="136"/>
      <c r="P69" s="136"/>
      <c r="Q69" s="136"/>
    </row>
    <row r="70" spans="2:20" x14ac:dyDescent="0.2">
      <c r="B70" s="53"/>
      <c r="C70" s="35" t="s">
        <v>70</v>
      </c>
      <c r="D70" s="66"/>
      <c r="E70" s="20" t="s">
        <v>91</v>
      </c>
      <c r="F70" s="104">
        <f>$F$24</f>
        <v>30</v>
      </c>
      <c r="G70" s="116">
        <v>250</v>
      </c>
      <c r="H70" s="105">
        <f>FAKTKOL!$F$42</f>
        <v>0.22060271146472299</v>
      </c>
      <c r="I70" s="30">
        <f t="shared" si="5"/>
        <v>1654.5203359854224</v>
      </c>
      <c r="J70" s="30" t="s">
        <v>41</v>
      </c>
      <c r="K70" s="131"/>
      <c r="L70" s="136"/>
      <c r="M70" s="136"/>
      <c r="N70" s="136"/>
      <c r="O70" s="136"/>
      <c r="P70" s="136"/>
      <c r="Q70" s="136"/>
    </row>
    <row r="71" spans="2:20" ht="7.5" customHeight="1" x14ac:dyDescent="0.2">
      <c r="B71" s="53"/>
      <c r="C71" s="34"/>
      <c r="D71" s="34"/>
      <c r="E71" s="20"/>
      <c r="F71" s="30"/>
      <c r="G71" s="38"/>
      <c r="H71" s="112"/>
      <c r="I71" s="30"/>
      <c r="J71" s="30"/>
      <c r="K71" s="132"/>
      <c r="L71" s="136"/>
      <c r="M71" s="136"/>
      <c r="N71" s="136"/>
      <c r="O71" s="136"/>
      <c r="P71" s="136"/>
      <c r="Q71" s="136"/>
    </row>
    <row r="72" spans="2:20" x14ac:dyDescent="0.2">
      <c r="B72" s="53"/>
      <c r="C72" s="16" t="s">
        <v>10</v>
      </c>
      <c r="D72" s="16"/>
      <c r="E72" s="17"/>
      <c r="F72" s="141"/>
      <c r="G72" s="9"/>
      <c r="H72" s="141"/>
      <c r="I72" s="138">
        <f>SUM(I45:I70)</f>
        <v>6561.0479588604894</v>
      </c>
      <c r="J72" s="138" t="s">
        <v>41</v>
      </c>
      <c r="K72" s="133"/>
      <c r="L72" s="136"/>
      <c r="M72" s="136"/>
      <c r="N72" s="136"/>
      <c r="O72" s="136"/>
      <c r="P72" s="136"/>
      <c r="Q72" s="136"/>
    </row>
    <row r="73" spans="2:20" ht="6" customHeight="1" x14ac:dyDescent="0.2">
      <c r="B73" s="53"/>
      <c r="C73" s="18"/>
      <c r="D73" s="18"/>
      <c r="E73" s="19"/>
      <c r="F73" s="23"/>
      <c r="G73" s="43"/>
      <c r="H73" s="110"/>
      <c r="I73" s="23"/>
      <c r="J73" s="23"/>
      <c r="K73" s="133"/>
      <c r="L73" s="136"/>
      <c r="M73" s="136"/>
      <c r="N73" s="136"/>
      <c r="O73" s="136"/>
      <c r="P73" s="136"/>
      <c r="Q73" s="136"/>
      <c r="R73" s="186"/>
    </row>
    <row r="74" spans="2:20" x14ac:dyDescent="0.2">
      <c r="B74" s="53"/>
      <c r="C74" s="16" t="s">
        <v>12</v>
      </c>
      <c r="D74" s="16"/>
      <c r="E74" s="22"/>
      <c r="F74" s="140"/>
      <c r="G74" s="9"/>
      <c r="H74" s="139"/>
      <c r="I74" s="138">
        <f>+I40+I72</f>
        <v>8894.7947459818861</v>
      </c>
      <c r="J74" s="138" t="s">
        <v>41</v>
      </c>
      <c r="K74" s="130"/>
      <c r="L74" s="136"/>
      <c r="M74" s="136"/>
      <c r="N74" s="136"/>
      <c r="O74" s="136"/>
      <c r="P74" s="136"/>
      <c r="Q74" s="136"/>
      <c r="R74" s="186"/>
    </row>
    <row r="75" spans="2:20" x14ac:dyDescent="0.2">
      <c r="B75" s="53"/>
      <c r="C75" s="21"/>
      <c r="D75" s="21"/>
      <c r="E75" s="21"/>
      <c r="F75" s="21"/>
      <c r="G75" s="38"/>
      <c r="H75" s="113"/>
      <c r="I75" s="21"/>
      <c r="J75" s="21"/>
      <c r="K75" s="135"/>
      <c r="L75" s="136"/>
      <c r="M75" s="136"/>
      <c r="N75" s="136"/>
      <c r="O75" s="136"/>
      <c r="P75" s="136"/>
      <c r="Q75" s="136"/>
    </row>
    <row r="76" spans="2:20" ht="13.5" thickBot="1" x14ac:dyDescent="0.25">
      <c r="B76" s="53"/>
      <c r="C76" s="18" t="s">
        <v>56</v>
      </c>
      <c r="D76" s="18"/>
      <c r="E76" s="19"/>
      <c r="F76" s="23"/>
      <c r="G76" s="108"/>
      <c r="H76" s="142"/>
      <c r="I76" s="73">
        <f>I27-I74</f>
        <v>3.3126115193408623</v>
      </c>
      <c r="J76" s="73" t="s">
        <v>41</v>
      </c>
      <c r="K76" s="133"/>
      <c r="L76" s="136"/>
      <c r="M76" s="136"/>
      <c r="N76" s="136"/>
      <c r="O76" s="136"/>
      <c r="P76" s="136"/>
      <c r="Q76" s="136"/>
    </row>
    <row r="77" spans="2:20" ht="5.25" customHeight="1" thickBot="1" x14ac:dyDescent="0.25">
      <c r="B77" s="53"/>
      <c r="C77" s="24"/>
      <c r="D77" s="24"/>
      <c r="E77" s="24"/>
      <c r="F77" s="25"/>
      <c r="G77" s="26"/>
      <c r="H77" s="25"/>
      <c r="I77" s="27"/>
      <c r="J77" s="27"/>
      <c r="K77" s="31"/>
      <c r="L77" s="136"/>
      <c r="M77" s="136"/>
      <c r="N77" s="136"/>
      <c r="O77" s="136"/>
      <c r="P77" s="136"/>
      <c r="Q77" s="136"/>
    </row>
    <row r="78" spans="2:20" ht="5.25" customHeight="1" x14ac:dyDescent="0.2">
      <c r="B78" s="53"/>
      <c r="C78" s="34"/>
      <c r="D78" s="34"/>
      <c r="E78" s="34"/>
      <c r="F78" s="29"/>
      <c r="G78" s="35"/>
      <c r="H78" s="29"/>
      <c r="I78" s="21"/>
      <c r="J78" s="21"/>
      <c r="K78" s="11"/>
      <c r="L78" s="136"/>
      <c r="M78" s="136"/>
      <c r="N78" s="136"/>
      <c r="O78" s="136"/>
      <c r="P78" s="136"/>
      <c r="Q78" s="136"/>
    </row>
    <row r="79" spans="2:20" x14ac:dyDescent="0.2">
      <c r="B79" s="53"/>
      <c r="C79" s="18" t="s">
        <v>96</v>
      </c>
      <c r="D79" s="18"/>
      <c r="E79" s="34"/>
      <c r="F79" s="29"/>
      <c r="G79" s="35"/>
      <c r="H79" s="29"/>
      <c r="I79" s="36">
        <f>((F24*FLOOR(((E3-(FAKTKOL!K2+1)))/(FAKTKOL!K3+1),1)+F23)/E3)</f>
        <v>9.2222222222222214</v>
      </c>
      <c r="J79" s="36" t="s">
        <v>13</v>
      </c>
      <c r="K79" s="11"/>
      <c r="L79" s="136"/>
      <c r="M79" s="136"/>
      <c r="N79" s="136"/>
      <c r="O79" s="136"/>
      <c r="P79" s="136"/>
      <c r="Q79" s="136"/>
    </row>
    <row r="80" spans="2:20" ht="3" customHeight="1" x14ac:dyDescent="0.2">
      <c r="B80" s="53"/>
      <c r="C80" s="35"/>
      <c r="D80" s="35"/>
      <c r="E80" s="34"/>
      <c r="F80" s="30"/>
      <c r="G80" s="35"/>
      <c r="H80" s="29"/>
      <c r="I80" s="21"/>
      <c r="J80" s="21"/>
      <c r="K80" s="11"/>
      <c r="L80" s="136"/>
      <c r="M80" s="136"/>
      <c r="N80" s="136"/>
      <c r="O80" s="136"/>
      <c r="P80" s="136"/>
      <c r="Q80" s="136"/>
    </row>
    <row r="81" spans="2:20" x14ac:dyDescent="0.2">
      <c r="B81" s="53"/>
      <c r="C81" s="18" t="s">
        <v>97</v>
      </c>
      <c r="D81" s="35"/>
      <c r="E81" s="34"/>
      <c r="F81" s="30"/>
      <c r="G81" s="35"/>
      <c r="H81" s="29"/>
      <c r="I81" s="36">
        <f>I79/(100%-E10)</f>
        <v>12.296296296296296</v>
      </c>
      <c r="J81" s="85" t="s">
        <v>13</v>
      </c>
      <c r="K81" s="11"/>
      <c r="L81" s="136"/>
      <c r="M81" s="136"/>
      <c r="N81" s="136"/>
      <c r="O81" s="136"/>
      <c r="P81" s="136"/>
      <c r="Q81" s="136"/>
    </row>
    <row r="82" spans="2:20" x14ac:dyDescent="0.2">
      <c r="B82" s="53"/>
      <c r="C82" s="38" t="s">
        <v>40</v>
      </c>
      <c r="D82" s="38"/>
      <c r="E82" s="34"/>
      <c r="F82" s="30"/>
      <c r="G82" s="34"/>
      <c r="H82" s="21"/>
      <c r="I82" s="28">
        <f>I81*E9</f>
        <v>163.11037037037036</v>
      </c>
      <c r="J82" s="28" t="s">
        <v>42</v>
      </c>
      <c r="K82" s="11"/>
      <c r="L82" s="136"/>
      <c r="M82" s="136"/>
      <c r="N82" s="136"/>
      <c r="O82" s="136"/>
      <c r="P82" s="136"/>
      <c r="Q82" s="136"/>
    </row>
    <row r="83" spans="2:20" ht="3" customHeight="1" x14ac:dyDescent="0.2">
      <c r="B83" s="53"/>
      <c r="C83" s="35"/>
      <c r="D83" s="35"/>
      <c r="E83" s="34"/>
      <c r="F83" s="67"/>
      <c r="G83" s="39"/>
      <c r="H83" s="21"/>
      <c r="I83" s="30"/>
      <c r="J83" s="30"/>
      <c r="K83" s="32"/>
      <c r="L83" s="136"/>
      <c r="M83" s="136"/>
      <c r="N83" s="136"/>
      <c r="O83" s="136"/>
      <c r="P83" s="136"/>
      <c r="Q83" s="136"/>
    </row>
    <row r="84" spans="2:20" x14ac:dyDescent="0.2">
      <c r="B84" s="53"/>
      <c r="C84" s="18" t="s">
        <v>20</v>
      </c>
      <c r="D84" s="18"/>
      <c r="E84" s="34"/>
      <c r="F84" s="30"/>
      <c r="G84" s="34"/>
      <c r="H84" s="21"/>
      <c r="I84" s="37">
        <f>I74/I82</f>
        <v>54.532368026537576</v>
      </c>
      <c r="J84" s="37" t="s">
        <v>41</v>
      </c>
      <c r="K84" s="33"/>
      <c r="L84" s="136"/>
      <c r="M84" s="136"/>
      <c r="N84" s="136"/>
      <c r="O84" s="136"/>
      <c r="P84" s="136"/>
      <c r="Q84" s="136"/>
    </row>
    <row r="85" spans="2:20" ht="3" customHeight="1" x14ac:dyDescent="0.2">
      <c r="B85" s="68"/>
      <c r="C85" s="16"/>
      <c r="D85" s="16"/>
      <c r="E85" s="69"/>
      <c r="F85" s="70"/>
      <c r="G85" s="69"/>
      <c r="H85" s="9"/>
      <c r="I85" s="71"/>
      <c r="J85" s="71"/>
      <c r="K85" s="72"/>
      <c r="L85" s="136"/>
      <c r="M85" s="136"/>
      <c r="N85" s="136"/>
      <c r="O85" s="136"/>
      <c r="P85" s="136"/>
      <c r="Q85" s="136"/>
    </row>
    <row r="86" spans="2:20" x14ac:dyDescent="0.2">
      <c r="C86" s="1"/>
      <c r="D86" s="1"/>
      <c r="E86" s="4"/>
      <c r="F86" s="6"/>
      <c r="G86" s="6"/>
      <c r="H86" s="4"/>
      <c r="I86" s="4"/>
    </row>
    <row r="87" spans="2:20" s="86" customFormat="1" x14ac:dyDescent="0.2">
      <c r="C87" s="89"/>
      <c r="D87" s="89"/>
      <c r="E87" s="88"/>
      <c r="F87" s="91"/>
      <c r="G87" s="91"/>
      <c r="H87" s="88"/>
      <c r="I87" s="88"/>
      <c r="R87" s="52"/>
      <c r="S87" s="52"/>
      <c r="T87" s="52"/>
    </row>
    <row r="88" spans="2:20" s="86" customFormat="1" x14ac:dyDescent="0.2">
      <c r="C88" s="89"/>
      <c r="D88" s="89"/>
      <c r="E88" s="88"/>
      <c r="F88" s="91"/>
      <c r="G88" s="91"/>
      <c r="H88" s="88"/>
      <c r="I88" s="88"/>
      <c r="R88" s="52"/>
      <c r="S88" s="52"/>
      <c r="T88" s="52"/>
    </row>
    <row r="89" spans="2:20" s="86" customFormat="1" x14ac:dyDescent="0.2">
      <c r="C89" s="89"/>
      <c r="D89" s="89"/>
      <c r="E89" s="87"/>
      <c r="F89" s="91"/>
      <c r="G89" s="91"/>
      <c r="H89" s="88"/>
      <c r="I89" s="88"/>
      <c r="R89" s="52"/>
      <c r="S89" s="52"/>
      <c r="T89" s="52"/>
    </row>
    <row r="90" spans="2:20" s="86" customFormat="1" x14ac:dyDescent="0.2">
      <c r="C90" s="89"/>
      <c r="D90" s="89"/>
      <c r="E90" s="88"/>
      <c r="F90" s="91"/>
      <c r="G90" s="91"/>
      <c r="H90" s="88"/>
      <c r="I90" s="88"/>
      <c r="J90" s="89"/>
      <c r="R90" s="52"/>
      <c r="S90" s="52"/>
      <c r="T90" s="52"/>
    </row>
    <row r="91" spans="2:20" s="86" customFormat="1" x14ac:dyDescent="0.2">
      <c r="C91" s="94"/>
      <c r="D91" s="94"/>
      <c r="E91" s="88"/>
      <c r="F91" s="88"/>
      <c r="G91" s="91"/>
      <c r="H91" s="91"/>
      <c r="I91" s="95"/>
      <c r="J91" s="95"/>
      <c r="K91" s="89"/>
      <c r="R91" s="52"/>
      <c r="S91" s="52"/>
      <c r="T91" s="52"/>
    </row>
    <row r="92" spans="2:20" s="86" customFormat="1" x14ac:dyDescent="0.2">
      <c r="C92" s="89"/>
      <c r="D92" s="89"/>
      <c r="E92" s="88"/>
      <c r="F92" s="88"/>
      <c r="G92" s="92"/>
      <c r="H92" s="91"/>
      <c r="I92" s="88"/>
      <c r="J92" s="88"/>
      <c r="R92" s="52"/>
      <c r="S92" s="52"/>
      <c r="T92" s="52"/>
    </row>
    <row r="93" spans="2:20" s="86" customFormat="1" x14ac:dyDescent="0.2">
      <c r="C93" s="89"/>
      <c r="D93" s="89"/>
      <c r="E93" s="87"/>
      <c r="F93" s="88"/>
      <c r="G93" s="87"/>
      <c r="H93" s="92"/>
      <c r="I93" s="88"/>
      <c r="J93" s="88"/>
      <c r="R93" s="187"/>
      <c r="S93" s="52"/>
      <c r="T93" s="52"/>
    </row>
    <row r="94" spans="2:20" s="86" customFormat="1" x14ac:dyDescent="0.2">
      <c r="C94" s="87"/>
      <c r="D94" s="87"/>
      <c r="E94" s="87"/>
      <c r="F94" s="88"/>
      <c r="G94" s="90"/>
      <c r="H94" s="87"/>
      <c r="I94" s="88"/>
      <c r="J94" s="88"/>
      <c r="R94" s="52"/>
      <c r="S94" s="52"/>
      <c r="T94" s="52"/>
    </row>
    <row r="95" spans="2:20" s="86" customFormat="1" x14ac:dyDescent="0.2">
      <c r="C95" s="89"/>
      <c r="D95" s="89"/>
      <c r="E95" s="87"/>
      <c r="F95" s="88"/>
      <c r="G95" s="91"/>
      <c r="H95" s="90"/>
      <c r="I95" s="88"/>
      <c r="J95" s="88"/>
      <c r="R95" s="52"/>
      <c r="S95" s="52"/>
      <c r="T95" s="52"/>
    </row>
    <row r="96" spans="2:20" s="86" customFormat="1" x14ac:dyDescent="0.2">
      <c r="C96" s="89"/>
      <c r="D96" s="89"/>
      <c r="E96" s="87"/>
      <c r="F96" s="88"/>
      <c r="H96" s="91"/>
      <c r="I96" s="88"/>
      <c r="J96" s="88"/>
      <c r="R96" s="52"/>
      <c r="S96" s="52"/>
      <c r="T96" s="52"/>
    </row>
    <row r="97" spans="3:20" s="86" customFormat="1" x14ac:dyDescent="0.2">
      <c r="F97" s="93"/>
      <c r="G97" s="87"/>
      <c r="I97" s="93"/>
      <c r="J97" s="93"/>
      <c r="R97" s="52"/>
      <c r="S97" s="52"/>
      <c r="T97" s="52"/>
    </row>
    <row r="98" spans="3:20" s="86" customFormat="1" x14ac:dyDescent="0.2">
      <c r="C98" s="89"/>
      <c r="D98" s="89"/>
      <c r="E98" s="87"/>
      <c r="F98" s="88"/>
      <c r="H98" s="87"/>
      <c r="I98" s="88"/>
      <c r="J98" s="88"/>
      <c r="R98" s="52"/>
      <c r="S98" s="52"/>
      <c r="T98" s="52"/>
    </row>
    <row r="99" spans="3:20" s="86" customFormat="1" x14ac:dyDescent="0.2">
      <c r="F99" s="93"/>
      <c r="G99" s="88"/>
      <c r="I99" s="93"/>
      <c r="J99" s="93"/>
      <c r="R99" s="52"/>
      <c r="S99" s="52"/>
      <c r="T99" s="52"/>
    </row>
    <row r="100" spans="3:20" s="86" customFormat="1" x14ac:dyDescent="0.2">
      <c r="C100" s="89"/>
      <c r="D100" s="89"/>
      <c r="E100" s="87"/>
      <c r="F100" s="88"/>
      <c r="G100" s="88"/>
      <c r="H100" s="88"/>
      <c r="I100" s="88"/>
      <c r="J100" s="88"/>
      <c r="R100" s="52"/>
      <c r="S100" s="52"/>
      <c r="T100" s="52"/>
    </row>
    <row r="101" spans="3:20" s="86" customFormat="1" x14ac:dyDescent="0.2">
      <c r="C101" s="89"/>
      <c r="D101" s="89"/>
      <c r="E101" s="87"/>
      <c r="F101" s="88"/>
      <c r="G101" s="88"/>
      <c r="H101" s="88"/>
      <c r="I101" s="88"/>
      <c r="J101" s="88"/>
      <c r="R101" s="52"/>
      <c r="S101" s="52"/>
      <c r="T101" s="52"/>
    </row>
    <row r="102" spans="3:20" s="86" customFormat="1" x14ac:dyDescent="0.2">
      <c r="C102" s="89"/>
      <c r="D102" s="89"/>
      <c r="E102" s="87"/>
      <c r="F102" s="88"/>
      <c r="G102" s="88"/>
      <c r="H102" s="88"/>
      <c r="I102" s="88"/>
      <c r="J102" s="88"/>
      <c r="R102" s="52"/>
      <c r="S102" s="52"/>
      <c r="T102" s="52"/>
    </row>
    <row r="103" spans="3:20" s="86" customFormat="1" x14ac:dyDescent="0.2">
      <c r="C103" s="89"/>
      <c r="D103" s="89"/>
      <c r="E103" s="87"/>
      <c r="F103" s="88"/>
      <c r="G103" s="88"/>
      <c r="H103" s="88"/>
      <c r="I103" s="88"/>
      <c r="J103" s="88"/>
      <c r="R103" s="52"/>
      <c r="S103" s="52"/>
      <c r="T103" s="52"/>
    </row>
    <row r="104" spans="3:20" s="86" customFormat="1" x14ac:dyDescent="0.2">
      <c r="C104" s="89"/>
      <c r="D104" s="89"/>
      <c r="E104" s="87"/>
      <c r="F104" s="88"/>
      <c r="G104" s="88"/>
      <c r="H104" s="88"/>
      <c r="I104" s="88"/>
      <c r="J104" s="88"/>
      <c r="R104" s="52"/>
      <c r="S104" s="52"/>
      <c r="T104" s="52"/>
    </row>
    <row r="105" spans="3:20" s="86" customFormat="1" x14ac:dyDescent="0.2">
      <c r="C105" s="89"/>
      <c r="D105" s="89"/>
      <c r="E105" s="87"/>
      <c r="F105" s="88"/>
      <c r="G105" s="88"/>
      <c r="H105" s="88"/>
      <c r="I105" s="88"/>
      <c r="J105" s="88"/>
      <c r="R105" s="52"/>
      <c r="S105" s="52"/>
      <c r="T105" s="52"/>
    </row>
    <row r="106" spans="3:20" s="86" customFormat="1" x14ac:dyDescent="0.2">
      <c r="C106" s="89"/>
      <c r="D106" s="89"/>
      <c r="E106" s="87"/>
      <c r="F106" s="88"/>
      <c r="G106" s="92"/>
      <c r="H106" s="88"/>
      <c r="I106" s="88"/>
      <c r="J106" s="88"/>
      <c r="R106" s="52"/>
      <c r="S106" s="52"/>
      <c r="T106" s="52"/>
    </row>
    <row r="107" spans="3:20" s="86" customFormat="1" x14ac:dyDescent="0.2">
      <c r="C107" s="89"/>
      <c r="D107" s="89"/>
      <c r="E107" s="87"/>
      <c r="F107" s="92"/>
      <c r="G107" s="92"/>
      <c r="H107" s="92"/>
      <c r="I107" s="88"/>
      <c r="J107" s="88"/>
      <c r="R107" s="52"/>
      <c r="S107" s="52"/>
      <c r="T107" s="52"/>
    </row>
    <row r="108" spans="3:20" s="86" customFormat="1" x14ac:dyDescent="0.2">
      <c r="C108" s="89"/>
      <c r="D108" s="89"/>
      <c r="E108" s="87"/>
      <c r="F108" s="92"/>
      <c r="G108" s="92"/>
      <c r="H108" s="92"/>
      <c r="I108" s="88"/>
      <c r="J108" s="88"/>
      <c r="R108" s="52"/>
      <c r="S108" s="52"/>
      <c r="T108" s="52"/>
    </row>
    <row r="109" spans="3:20" s="86" customFormat="1" x14ac:dyDescent="0.2">
      <c r="C109" s="89"/>
      <c r="D109" s="89"/>
      <c r="E109" s="87"/>
      <c r="F109" s="88"/>
      <c r="G109" s="92"/>
      <c r="H109" s="92"/>
      <c r="I109" s="88"/>
      <c r="J109" s="88"/>
      <c r="R109" s="52"/>
      <c r="S109" s="52"/>
      <c r="T109" s="52"/>
    </row>
    <row r="110" spans="3:20" s="86" customFormat="1" x14ac:dyDescent="0.2">
      <c r="C110" s="89"/>
      <c r="D110" s="89"/>
      <c r="E110" s="87"/>
      <c r="F110" s="88"/>
      <c r="G110" s="92"/>
      <c r="H110" s="92"/>
      <c r="I110" s="88"/>
      <c r="J110" s="88"/>
      <c r="R110" s="52"/>
      <c r="S110" s="52"/>
      <c r="T110" s="52"/>
    </row>
    <row r="111" spans="3:20" x14ac:dyDescent="0.2">
      <c r="C111" s="1"/>
      <c r="D111" s="1"/>
      <c r="E111" s="4"/>
      <c r="F111" s="4"/>
      <c r="G111" s="5"/>
      <c r="H111" s="5"/>
      <c r="I111" s="4"/>
      <c r="J111" s="4"/>
    </row>
    <row r="112" spans="3:20" x14ac:dyDescent="0.2">
      <c r="C112" s="1"/>
      <c r="D112" s="1"/>
      <c r="E112" s="2"/>
      <c r="F112" s="5"/>
      <c r="G112" s="5"/>
      <c r="H112" s="5"/>
      <c r="I112" s="4"/>
      <c r="J112" s="4"/>
    </row>
    <row r="113" spans="3:10" x14ac:dyDescent="0.2">
      <c r="C113" s="1"/>
      <c r="D113" s="1"/>
      <c r="E113" s="2"/>
      <c r="F113" s="4"/>
      <c r="G113" s="2"/>
      <c r="H113" s="5"/>
      <c r="I113" s="4"/>
      <c r="J113" s="4"/>
    </row>
    <row r="114" spans="3:10" x14ac:dyDescent="0.2">
      <c r="C114" s="2"/>
      <c r="D114" s="2"/>
      <c r="E114" s="2"/>
      <c r="F114" s="4"/>
      <c r="G114" s="2"/>
      <c r="H114" s="2"/>
      <c r="I114" s="4"/>
      <c r="J114" s="4"/>
    </row>
    <row r="115" spans="3:10" x14ac:dyDescent="0.2">
      <c r="C115" s="1"/>
      <c r="D115" s="1"/>
      <c r="E115" s="2"/>
      <c r="F115" s="4"/>
      <c r="G115" s="2"/>
      <c r="H115" s="2"/>
      <c r="I115" s="4"/>
      <c r="J115" s="4"/>
    </row>
    <row r="116" spans="3:10" x14ac:dyDescent="0.2">
      <c r="C116" s="1"/>
      <c r="D116" s="1"/>
      <c r="E116" s="2"/>
      <c r="F116" s="4"/>
      <c r="G116" s="2"/>
      <c r="H116" s="2"/>
      <c r="I116" s="4"/>
      <c r="J116" s="4"/>
    </row>
    <row r="117" spans="3:10" x14ac:dyDescent="0.2">
      <c r="C117" s="1"/>
      <c r="D117" s="1"/>
      <c r="E117" s="2"/>
      <c r="F117" s="4"/>
      <c r="G117" s="2"/>
      <c r="H117" s="2"/>
      <c r="I117" s="4"/>
      <c r="J117" s="4"/>
    </row>
    <row r="118" spans="3:10" x14ac:dyDescent="0.2">
      <c r="C118" s="2"/>
      <c r="D118" s="2"/>
      <c r="E118" s="2"/>
      <c r="F118" s="4"/>
      <c r="G118" s="6"/>
      <c r="H118" s="2"/>
      <c r="I118" s="4"/>
      <c r="J118" s="4"/>
    </row>
    <row r="119" spans="3:10" x14ac:dyDescent="0.2">
      <c r="C119" s="1"/>
      <c r="D119" s="1"/>
      <c r="E119" s="4"/>
      <c r="F119" s="4"/>
      <c r="G119" s="6"/>
      <c r="H119" s="6"/>
      <c r="I119" s="4"/>
      <c r="J119" s="4"/>
    </row>
    <row r="120" spans="3:10" x14ac:dyDescent="0.2">
      <c r="C120" s="1"/>
      <c r="D120" s="1"/>
      <c r="E120" s="2"/>
      <c r="F120" s="4"/>
      <c r="H120" s="6"/>
      <c r="I120" s="4"/>
      <c r="J120" s="4"/>
    </row>
    <row r="121" spans="3:10" x14ac:dyDescent="0.2">
      <c r="F121" s="7"/>
      <c r="G121" s="6"/>
      <c r="I121" s="7"/>
      <c r="J121" s="7"/>
    </row>
    <row r="122" spans="3:10" x14ac:dyDescent="0.2">
      <c r="C122" s="1"/>
      <c r="D122" s="1"/>
      <c r="E122" s="4"/>
      <c r="F122" s="4"/>
      <c r="G122" s="2"/>
      <c r="H122" s="6"/>
      <c r="I122" s="4"/>
      <c r="J122" s="4"/>
    </row>
    <row r="123" spans="3:10" x14ac:dyDescent="0.2">
      <c r="C123" s="1"/>
      <c r="D123" s="1"/>
      <c r="E123" s="2"/>
      <c r="F123" s="4"/>
      <c r="H123" s="2"/>
      <c r="I123" s="5"/>
      <c r="J123" s="5"/>
    </row>
    <row r="124" spans="3:10" x14ac:dyDescent="0.2">
      <c r="F124" s="7"/>
      <c r="G124" s="2"/>
      <c r="I124" s="7"/>
      <c r="J124" s="7"/>
    </row>
    <row r="125" spans="3:10" x14ac:dyDescent="0.2">
      <c r="C125" s="1"/>
      <c r="D125" s="1"/>
      <c r="E125" s="2"/>
      <c r="F125" s="4"/>
      <c r="H125" s="2"/>
      <c r="I125" s="4"/>
      <c r="J125" s="4"/>
    </row>
    <row r="126" spans="3:10" x14ac:dyDescent="0.2">
      <c r="F126" s="7"/>
      <c r="G126" s="2"/>
      <c r="I126" s="7"/>
      <c r="J126" s="7"/>
    </row>
    <row r="127" spans="3:10" x14ac:dyDescent="0.2">
      <c r="C127" s="1"/>
      <c r="D127" s="1"/>
      <c r="E127" s="2"/>
      <c r="F127" s="4"/>
      <c r="G127" s="2"/>
      <c r="H127" s="2"/>
      <c r="I127" s="4"/>
      <c r="J127" s="4"/>
    </row>
    <row r="128" spans="3:10" x14ac:dyDescent="0.2">
      <c r="C128" s="1"/>
      <c r="D128" s="1"/>
      <c r="E128" s="2"/>
      <c r="F128" s="4"/>
      <c r="H128" s="2"/>
      <c r="I128" s="4"/>
      <c r="J128" s="4"/>
    </row>
    <row r="129" spans="3:11" x14ac:dyDescent="0.2">
      <c r="F129" s="7"/>
      <c r="G129" s="2"/>
      <c r="I129" s="7"/>
      <c r="J129" s="7"/>
    </row>
    <row r="130" spans="3:11" x14ac:dyDescent="0.2">
      <c r="C130" s="1"/>
      <c r="D130" s="1"/>
      <c r="E130" s="2"/>
      <c r="F130" s="4"/>
      <c r="G130" s="2"/>
      <c r="H130" s="2"/>
      <c r="I130" s="4"/>
      <c r="J130" s="4"/>
    </row>
    <row r="131" spans="3:11" x14ac:dyDescent="0.2">
      <c r="C131" s="1"/>
      <c r="D131" s="1"/>
      <c r="E131" s="2"/>
      <c r="F131" s="4"/>
      <c r="G131" s="2"/>
      <c r="H131" s="2"/>
      <c r="I131" s="4"/>
      <c r="J131" s="4"/>
    </row>
    <row r="132" spans="3:11" x14ac:dyDescent="0.2">
      <c r="C132" s="1"/>
      <c r="D132" s="1"/>
      <c r="E132" s="2"/>
      <c r="F132" s="4"/>
      <c r="G132" s="2"/>
      <c r="H132" s="2"/>
      <c r="I132" s="4"/>
      <c r="J132" s="4"/>
    </row>
    <row r="133" spans="3:11" x14ac:dyDescent="0.2">
      <c r="C133" s="1"/>
      <c r="D133" s="1"/>
      <c r="E133" s="2"/>
      <c r="F133" s="4"/>
      <c r="H133" s="2"/>
      <c r="I133" s="4"/>
      <c r="J133" s="4"/>
      <c r="K133" s="4"/>
    </row>
  </sheetData>
  <phoneticPr fontId="0" type="noConversion"/>
  <conditionalFormatting sqref="I76">
    <cfRule type="cellIs" dxfId="0" priority="1" stopIfTrue="1" operator="lessThan">
      <formula>0</formula>
    </cfRule>
  </conditionalFormatting>
  <dataValidations count="1">
    <dataValidation type="list" allowBlank="1" showInputMessage="1" showErrorMessage="1" sqref="E10" xr:uid="{00000000-0002-0000-0000-000000000000}">
      <formula1>$R$5:$R$25</formula1>
    </dataValidation>
  </dataValidations>
  <printOptions horizontalCentered="1"/>
  <pageMargins left="0.39370078740157483" right="0.39370078740157483" top="0.39370078740157483" bottom="0.59055118110236227" header="0" footer="0.23622047244094491"/>
  <pageSetup paperSize="9" scale="71" orientation="portrait" r:id="rId1"/>
  <headerFooter alignWithMargins="0">
    <oddFooter>&amp;L&amp;8&amp;D&amp;C&amp;8&amp;A&amp;R&amp;8&amp;P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99" r:id="rId4" name="Drop Down 15">
              <controlPr defaultSize="0" autoLine="0" autoPict="0">
                <anchor moveWithCells="1">
                  <from>
                    <xdr:col>4</xdr:col>
                    <xdr:colOff>0</xdr:colOff>
                    <xdr:row>4</xdr:row>
                    <xdr:rowOff>57150</xdr:rowOff>
                  </from>
                  <to>
                    <xdr:col>4</xdr:col>
                    <xdr:colOff>361950</xdr:colOff>
                    <xdr:row>5</xdr:row>
                    <xdr:rowOff>28575</xdr:rowOff>
                  </to>
                </anchor>
              </controlPr>
            </control>
          </mc:Choice>
        </mc:AlternateContent>
        <mc:AlternateContent xmlns:mc="http://schemas.openxmlformats.org/markup-compatibility/2006">
          <mc:Choice Requires="x14">
            <control shapeId="16472" r:id="rId5" name="Drop Down 88">
              <controlPr defaultSize="0" autoLine="0" autoPict="0">
                <anchor moveWithCells="1">
                  <from>
                    <xdr:col>4</xdr:col>
                    <xdr:colOff>9525</xdr:colOff>
                    <xdr:row>3</xdr:row>
                    <xdr:rowOff>28575</xdr:rowOff>
                  </from>
                  <to>
                    <xdr:col>4</xdr:col>
                    <xdr:colOff>371475</xdr:colOff>
                    <xdr:row>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AE60"/>
  <sheetViews>
    <sheetView showGridLines="0" zoomScale="85" zoomScaleNormal="85" workbookViewId="0">
      <selection activeCell="K47" sqref="K47"/>
    </sheetView>
  </sheetViews>
  <sheetFormatPr defaultColWidth="10.25" defaultRowHeight="12.75" x14ac:dyDescent="0.2"/>
  <cols>
    <col min="1" max="1" width="4.625" style="3" customWidth="1"/>
    <col min="2" max="2" width="1.625" style="3" customWidth="1"/>
    <col min="3" max="3" width="10" style="3" customWidth="1"/>
    <col min="4" max="4" width="7.75" style="3" customWidth="1"/>
    <col min="5" max="5" width="5.75" style="3" customWidth="1"/>
    <col min="6" max="6" width="12.375" style="3" customWidth="1"/>
    <col min="7" max="7" width="1.5" style="3" customWidth="1"/>
    <col min="8" max="8" width="5.75" style="3" customWidth="1"/>
    <col min="9" max="9" width="4.5" style="3" customWidth="1"/>
    <col min="10" max="11" width="7.625" style="3" customWidth="1"/>
    <col min="12" max="12" width="6.125" style="3" customWidth="1"/>
    <col min="13" max="13" width="10.5" style="3" customWidth="1"/>
    <col min="14" max="14" width="3.375" style="3" customWidth="1"/>
    <col min="15" max="15" width="3" style="3" customWidth="1"/>
    <col min="16" max="16" width="7.375" style="3" customWidth="1"/>
    <col min="17" max="17" width="5" style="3" customWidth="1"/>
    <col min="18" max="18" width="5.25" style="3" customWidth="1"/>
    <col min="19" max="19" width="13.125" style="3" customWidth="1"/>
    <col min="20" max="20" width="2" style="3" customWidth="1"/>
    <col min="21" max="21" width="1.875" style="3" customWidth="1"/>
    <col min="22" max="22" width="5" style="3" customWidth="1"/>
    <col min="23" max="23" width="7.5" style="3" customWidth="1"/>
    <col min="24" max="24" width="3.375" style="3" customWidth="1"/>
    <col min="25" max="25" width="12.125" style="3" customWidth="1"/>
    <col min="26" max="26" width="3.625" style="3" customWidth="1"/>
    <col min="27" max="27" width="4.25" style="3" customWidth="1"/>
    <col min="28" max="28" width="7.375" style="3" customWidth="1"/>
    <col min="29" max="29" width="5" style="3" customWidth="1"/>
    <col min="30" max="30" width="5.25" style="3" customWidth="1"/>
    <col min="31" max="31" width="13.125" style="3" customWidth="1"/>
    <col min="32" max="16384" width="10.25" style="3"/>
  </cols>
  <sheetData>
    <row r="1" spans="1:31" x14ac:dyDescent="0.2">
      <c r="A1" s="1" t="s">
        <v>29</v>
      </c>
      <c r="D1" s="2">
        <f>Pil!E3</f>
        <v>18</v>
      </c>
      <c r="E1" s="1" t="s">
        <v>21</v>
      </c>
      <c r="J1" s="8" t="s">
        <v>35</v>
      </c>
      <c r="K1" s="8" t="s">
        <v>36</v>
      </c>
    </row>
    <row r="2" spans="1:31" x14ac:dyDescent="0.2">
      <c r="J2" s="50">
        <v>2</v>
      </c>
      <c r="K2" s="51">
        <v>1</v>
      </c>
      <c r="L2" s="51">
        <f>K2+2</f>
        <v>3</v>
      </c>
    </row>
    <row r="3" spans="1:31" x14ac:dyDescent="0.2">
      <c r="A3" s="1" t="s">
        <v>30</v>
      </c>
      <c r="D3" s="2"/>
      <c r="E3" s="45">
        <f>Pil!E2</f>
        <v>0.04</v>
      </c>
      <c r="J3" s="50">
        <v>3</v>
      </c>
      <c r="K3" s="51">
        <v>2</v>
      </c>
      <c r="L3" s="51">
        <f>K3+1</f>
        <v>3</v>
      </c>
    </row>
    <row r="4" spans="1:31" x14ac:dyDescent="0.2">
      <c r="A4" s="1" t="s">
        <v>48</v>
      </c>
      <c r="D4" s="2"/>
      <c r="E4" s="161">
        <v>1.4999999999999999E-2</v>
      </c>
      <c r="J4" s="50">
        <v>4</v>
      </c>
      <c r="K4" s="52"/>
      <c r="L4" s="52"/>
    </row>
    <row r="5" spans="1:31" x14ac:dyDescent="0.2">
      <c r="A5" s="1" t="s">
        <v>49</v>
      </c>
      <c r="D5" s="2"/>
      <c r="E5" s="79">
        <f>E3-E4</f>
        <v>2.5000000000000001E-2</v>
      </c>
      <c r="K5" s="52"/>
      <c r="L5" s="52"/>
    </row>
    <row r="6" spans="1:31" x14ac:dyDescent="0.2">
      <c r="A6" s="1" t="s">
        <v>50</v>
      </c>
      <c r="D6" s="2"/>
      <c r="E6" s="45"/>
      <c r="K6" s="52"/>
      <c r="L6" s="52"/>
    </row>
    <row r="7" spans="1:31" ht="15.75" x14ac:dyDescent="0.25">
      <c r="A7" s="1"/>
      <c r="D7" s="195" t="s">
        <v>1</v>
      </c>
      <c r="E7" s="195"/>
      <c r="F7" s="195"/>
      <c r="K7" s="52"/>
      <c r="L7" s="195" t="s">
        <v>37</v>
      </c>
      <c r="M7" s="195"/>
      <c r="N7" s="195"/>
      <c r="Q7" s="52"/>
      <c r="R7" s="195" t="s">
        <v>44</v>
      </c>
      <c r="S7" s="195"/>
      <c r="T7" s="195"/>
      <c r="V7" s="195" t="s">
        <v>43</v>
      </c>
      <c r="W7" s="195"/>
      <c r="X7" s="195"/>
      <c r="Y7" s="195"/>
      <c r="Z7" s="195"/>
      <c r="AB7" s="97" t="s">
        <v>72</v>
      </c>
      <c r="AC7" s="97"/>
      <c r="AD7" s="97"/>
    </row>
    <row r="8" spans="1:31" ht="13.5" thickBot="1" x14ac:dyDescent="0.25">
      <c r="A8" s="26" t="s">
        <v>22</v>
      </c>
      <c r="B8" s="27"/>
      <c r="C8" s="27"/>
      <c r="D8" s="26" t="s">
        <v>32</v>
      </c>
      <c r="E8" s="27"/>
      <c r="F8" s="27" t="s">
        <v>23</v>
      </c>
      <c r="G8" s="27"/>
      <c r="H8" s="27" t="s">
        <v>34</v>
      </c>
      <c r="I8" s="27"/>
      <c r="J8" s="26" t="s">
        <v>22</v>
      </c>
      <c r="K8" s="26" t="s">
        <v>32</v>
      </c>
      <c r="L8" s="27"/>
      <c r="M8" s="27" t="s">
        <v>23</v>
      </c>
      <c r="N8" s="27"/>
      <c r="O8" s="27"/>
      <c r="P8" s="26" t="s">
        <v>22</v>
      </c>
      <c r="Q8" s="26" t="s">
        <v>32</v>
      </c>
      <c r="R8" s="27"/>
      <c r="S8" s="27" t="s">
        <v>23</v>
      </c>
      <c r="T8" s="27"/>
      <c r="U8" s="27"/>
      <c r="V8" s="26" t="s">
        <v>22</v>
      </c>
      <c r="W8" s="26" t="s">
        <v>32</v>
      </c>
      <c r="X8" s="27"/>
      <c r="Y8" s="27" t="s">
        <v>23</v>
      </c>
      <c r="Z8" s="27"/>
      <c r="AB8" s="26" t="s">
        <v>22</v>
      </c>
      <c r="AC8" s="26" t="s">
        <v>32</v>
      </c>
      <c r="AD8" s="27"/>
      <c r="AE8" s="27" t="s">
        <v>23</v>
      </c>
    </row>
    <row r="9" spans="1:31" x14ac:dyDescent="0.2">
      <c r="A9" s="2">
        <v>0</v>
      </c>
      <c r="D9" s="2">
        <v>0</v>
      </c>
      <c r="F9" s="81">
        <f>PMT($E$5,$D$1,PV($E$3,A9,0,D9),0)</f>
        <v>0</v>
      </c>
      <c r="I9" s="54"/>
      <c r="J9" s="2">
        <v>0</v>
      </c>
      <c r="K9" s="2">
        <f>IF(J9&gt;$D$1,0,1)</f>
        <v>1</v>
      </c>
      <c r="M9" s="56">
        <f>PMT($E$5,$D$1,-K9)</f>
        <v>6.9670080549179308E-2</v>
      </c>
      <c r="O9" s="54"/>
      <c r="P9" s="2">
        <v>0</v>
      </c>
      <c r="Q9" s="2">
        <v>0</v>
      </c>
      <c r="S9" s="3">
        <f t="shared" ref="S9:S39" si="0">PMT($E$5,$D$1,PV($E$5,P9,0,Q9),0)</f>
        <v>0</v>
      </c>
      <c r="U9" s="54"/>
      <c r="V9" s="2">
        <v>0</v>
      </c>
      <c r="W9" s="2">
        <v>0</v>
      </c>
      <c r="X9" s="2"/>
      <c r="Y9" s="3">
        <f t="shared" ref="Y9:Y39" si="1">PMT($E$5,$D$1,PV($E$5,V9,0,W9),0)</f>
        <v>0</v>
      </c>
      <c r="Z9" s="74"/>
      <c r="AB9" s="2">
        <v>0</v>
      </c>
      <c r="AC9" s="2">
        <v>0</v>
      </c>
      <c r="AE9" s="3">
        <f t="shared" ref="AE9:AE39" si="2">PMT($E$5,$D$1,PV($E$5,AB9,0,AC9),0)</f>
        <v>0</v>
      </c>
    </row>
    <row r="10" spans="1:31" x14ac:dyDescent="0.2">
      <c r="A10" s="2">
        <v>1</v>
      </c>
      <c r="D10" s="2">
        <f>IF(H10=A10,1,0)</f>
        <v>0</v>
      </c>
      <c r="E10" s="2"/>
      <c r="F10" s="81">
        <f>PMT($E$5,$D$1,PV($E$3,A10,0,D10),0)</f>
        <v>0</v>
      </c>
      <c r="G10" s="81"/>
      <c r="I10" s="55"/>
      <c r="J10" s="2">
        <v>1</v>
      </c>
      <c r="K10" s="2">
        <f t="shared" ref="K10:K39" si="3">IF(J10&gt;$D$1,0,1)</f>
        <v>1</v>
      </c>
      <c r="L10" s="34"/>
      <c r="M10" s="80">
        <f t="shared" ref="M10:M39" si="4">PMT($E$5,$D$1,PV($E$5,J10,0,K10))</f>
        <v>6.7970810291882261E-2</v>
      </c>
      <c r="O10" s="55"/>
      <c r="P10" s="2">
        <v>1</v>
      </c>
      <c r="Q10" s="2">
        <f>IF(P10&gt;=$D$1,0,D10)</f>
        <v>0</v>
      </c>
      <c r="R10" s="2"/>
      <c r="S10" s="2">
        <f t="shared" si="0"/>
        <v>0</v>
      </c>
      <c r="U10" s="55"/>
      <c r="V10" s="2">
        <v>1</v>
      </c>
      <c r="W10" s="2">
        <f>IF(V10&lt;$D$1,1,0)</f>
        <v>1</v>
      </c>
      <c r="X10" s="2"/>
      <c r="Y10" s="2">
        <f t="shared" si="1"/>
        <v>6.7970810291882261E-2</v>
      </c>
      <c r="Z10" s="75"/>
      <c r="AB10" s="2">
        <v>1</v>
      </c>
      <c r="AC10" s="34">
        <v>0</v>
      </c>
      <c r="AD10" s="2"/>
      <c r="AE10" s="2">
        <f t="shared" si="2"/>
        <v>0</v>
      </c>
    </row>
    <row r="11" spans="1:31" x14ac:dyDescent="0.2">
      <c r="A11" s="2">
        <v>2</v>
      </c>
      <c r="D11" s="2">
        <f>IF(H11=A11,1,0)</f>
        <v>0</v>
      </c>
      <c r="E11" s="2"/>
      <c r="F11" s="81">
        <f t="shared" ref="F11:F39" si="5">PMT($E$5,$D$1,PV($E$3,A11,0,D11),0)</f>
        <v>0</v>
      </c>
      <c r="H11" s="11">
        <f>IFERROR(VLOOKUP(A11,$H$46:$I$60,2,0),0)</f>
        <v>0</v>
      </c>
      <c r="I11" s="55"/>
      <c r="J11" s="2">
        <v>2</v>
      </c>
      <c r="K11" s="2">
        <f t="shared" si="3"/>
        <v>1</v>
      </c>
      <c r="L11" s="34"/>
      <c r="M11" s="80">
        <f t="shared" si="4"/>
        <v>6.6312985650616829E-2</v>
      </c>
      <c r="O11" s="55"/>
      <c r="P11" s="2">
        <v>2</v>
      </c>
      <c r="Q11" s="2">
        <f t="shared" ref="Q11:Q39" si="6">IF(P11&gt;=$D$1,0,D11)</f>
        <v>0</v>
      </c>
      <c r="R11" s="2"/>
      <c r="S11" s="2">
        <f t="shared" si="0"/>
        <v>0</v>
      </c>
      <c r="U11" s="55"/>
      <c r="V11" s="2">
        <v>2</v>
      </c>
      <c r="W11" s="2">
        <v>0</v>
      </c>
      <c r="X11" s="2"/>
      <c r="Y11" s="2">
        <f t="shared" si="1"/>
        <v>0</v>
      </c>
      <c r="Z11" s="75"/>
      <c r="AB11" s="2">
        <v>2</v>
      </c>
      <c r="AC11" s="34">
        <f t="shared" ref="AC11:AC39" si="7">IF(AB11&gt;=$D$1,0,D10)</f>
        <v>0</v>
      </c>
      <c r="AD11" s="2"/>
      <c r="AE11" s="2">
        <f t="shared" si="2"/>
        <v>0</v>
      </c>
    </row>
    <row r="12" spans="1:31" x14ac:dyDescent="0.2">
      <c r="A12" s="2">
        <v>3</v>
      </c>
      <c r="D12" s="2">
        <f>IF(H12=A12,1,0)</f>
        <v>1</v>
      </c>
      <c r="E12" s="2"/>
      <c r="F12" s="81">
        <f t="shared" si="5"/>
        <v>6.193644791652974E-2</v>
      </c>
      <c r="H12" s="11">
        <f t="shared" ref="H12:H39" si="8">IFERROR(VLOOKUP(A12,$H$46:$I$60,2,0),0)</f>
        <v>3</v>
      </c>
      <c r="I12" s="55"/>
      <c r="J12" s="2">
        <v>3</v>
      </c>
      <c r="K12" s="2">
        <f t="shared" si="3"/>
        <v>1</v>
      </c>
      <c r="L12" s="34"/>
      <c r="M12" s="80">
        <f t="shared" si="4"/>
        <v>6.4695595756699351E-2</v>
      </c>
      <c r="O12" s="55"/>
      <c r="P12" s="2">
        <v>3</v>
      </c>
      <c r="Q12" s="2">
        <f t="shared" si="6"/>
        <v>1</v>
      </c>
      <c r="R12" s="2"/>
      <c r="S12" s="2">
        <f t="shared" si="0"/>
        <v>6.4695595756699351E-2</v>
      </c>
      <c r="U12" s="55"/>
      <c r="V12" s="2">
        <v>3</v>
      </c>
      <c r="W12" s="2">
        <f>IF(V12&lt;$D$1,1,0)</f>
        <v>1</v>
      </c>
      <c r="X12" s="2"/>
      <c r="Y12" s="2">
        <f t="shared" si="1"/>
        <v>6.4695595756699351E-2</v>
      </c>
      <c r="Z12" s="75"/>
      <c r="AB12" s="2">
        <v>3</v>
      </c>
      <c r="AC12" s="34">
        <f t="shared" si="7"/>
        <v>0</v>
      </c>
      <c r="AD12" s="2"/>
      <c r="AE12" s="2">
        <f t="shared" si="2"/>
        <v>0</v>
      </c>
    </row>
    <row r="13" spans="1:31" x14ac:dyDescent="0.2">
      <c r="A13" s="2">
        <v>4</v>
      </c>
      <c r="D13" s="2">
        <f t="shared" ref="D13:D39" si="9">IF(H13=A13,1,0)</f>
        <v>0</v>
      </c>
      <c r="E13" s="2"/>
      <c r="F13" s="81">
        <f t="shared" si="5"/>
        <v>0</v>
      </c>
      <c r="H13" s="11">
        <f t="shared" si="8"/>
        <v>0</v>
      </c>
      <c r="I13" s="55"/>
      <c r="J13" s="2">
        <v>4</v>
      </c>
      <c r="K13" s="2">
        <f t="shared" si="3"/>
        <v>1</v>
      </c>
      <c r="L13" s="34"/>
      <c r="M13" s="80">
        <f t="shared" si="4"/>
        <v>6.3117654396779868E-2</v>
      </c>
      <c r="O13" s="55"/>
      <c r="P13" s="2">
        <v>4</v>
      </c>
      <c r="Q13" s="2">
        <f t="shared" si="6"/>
        <v>0</v>
      </c>
      <c r="R13" s="2"/>
      <c r="S13" s="2">
        <f t="shared" si="0"/>
        <v>0</v>
      </c>
      <c r="U13" s="55"/>
      <c r="V13" s="2">
        <v>4</v>
      </c>
      <c r="W13" s="2">
        <v>0</v>
      </c>
      <c r="X13" s="2"/>
      <c r="Y13" s="2">
        <f t="shared" si="1"/>
        <v>0</v>
      </c>
      <c r="Z13" s="75"/>
      <c r="AB13" s="2">
        <v>4</v>
      </c>
      <c r="AC13" s="34">
        <f t="shared" si="7"/>
        <v>1</v>
      </c>
      <c r="AD13" s="2"/>
      <c r="AE13" s="2">
        <f t="shared" si="2"/>
        <v>6.3117654396779868E-2</v>
      </c>
    </row>
    <row r="14" spans="1:31" x14ac:dyDescent="0.2">
      <c r="A14" s="2">
        <v>5</v>
      </c>
      <c r="D14" s="2">
        <f t="shared" si="9"/>
        <v>0</v>
      </c>
      <c r="E14" s="2"/>
      <c r="F14" s="81">
        <f t="shared" si="5"/>
        <v>0</v>
      </c>
      <c r="H14" s="11">
        <f t="shared" si="8"/>
        <v>0</v>
      </c>
      <c r="I14" s="55"/>
      <c r="J14" s="2">
        <v>5</v>
      </c>
      <c r="K14" s="2">
        <f t="shared" si="3"/>
        <v>1</v>
      </c>
      <c r="L14" s="34"/>
      <c r="M14" s="80">
        <f t="shared" si="4"/>
        <v>6.1578199411492555E-2</v>
      </c>
      <c r="O14" s="55"/>
      <c r="P14" s="2">
        <v>5</v>
      </c>
      <c r="Q14" s="2">
        <f t="shared" si="6"/>
        <v>0</v>
      </c>
      <c r="R14" s="2"/>
      <c r="S14" s="2">
        <f t="shared" si="0"/>
        <v>0</v>
      </c>
      <c r="U14" s="55"/>
      <c r="V14" s="2">
        <v>5</v>
      </c>
      <c r="W14" s="2">
        <f>IF(V14&lt;$D$1,1,0)</f>
        <v>1</v>
      </c>
      <c r="X14" s="2"/>
      <c r="Y14" s="2">
        <f t="shared" si="1"/>
        <v>6.1578199411492555E-2</v>
      </c>
      <c r="Z14" s="75"/>
      <c r="AB14" s="2">
        <v>5</v>
      </c>
      <c r="AC14" s="34">
        <f>IF(AB14&gt;=$D$1,0,D13)</f>
        <v>0</v>
      </c>
      <c r="AD14" s="2"/>
      <c r="AE14" s="2">
        <f t="shared" si="2"/>
        <v>0</v>
      </c>
    </row>
    <row r="15" spans="1:31" x14ac:dyDescent="0.2">
      <c r="A15" s="2">
        <v>6</v>
      </c>
      <c r="D15" s="2">
        <f t="shared" si="9"/>
        <v>1</v>
      </c>
      <c r="E15" s="2"/>
      <c r="F15" s="81">
        <f t="shared" si="5"/>
        <v>5.5061276666805693E-2</v>
      </c>
      <c r="H15" s="11">
        <f t="shared" si="8"/>
        <v>6</v>
      </c>
      <c r="I15" s="55"/>
      <c r="J15" s="2">
        <v>6</v>
      </c>
      <c r="K15" s="2">
        <f t="shared" si="3"/>
        <v>1</v>
      </c>
      <c r="L15" s="34"/>
      <c r="M15" s="80">
        <f t="shared" si="4"/>
        <v>6.0076292108773237E-2</v>
      </c>
      <c r="O15" s="55"/>
      <c r="P15" s="2">
        <v>6</v>
      </c>
      <c r="Q15" s="2">
        <f t="shared" si="6"/>
        <v>1</v>
      </c>
      <c r="R15" s="2"/>
      <c r="S15" s="2">
        <f t="shared" si="0"/>
        <v>6.0076292108773237E-2</v>
      </c>
      <c r="U15" s="55"/>
      <c r="V15" s="2">
        <v>6</v>
      </c>
      <c r="W15" s="2">
        <v>0</v>
      </c>
      <c r="X15" s="2"/>
      <c r="Y15" s="2">
        <f t="shared" si="1"/>
        <v>0</v>
      </c>
      <c r="Z15" s="75"/>
      <c r="AB15" s="2">
        <v>6</v>
      </c>
      <c r="AC15" s="34">
        <f t="shared" si="7"/>
        <v>0</v>
      </c>
      <c r="AD15" s="2"/>
      <c r="AE15" s="2">
        <f t="shared" si="2"/>
        <v>0</v>
      </c>
    </row>
    <row r="16" spans="1:31" x14ac:dyDescent="0.2">
      <c r="A16" s="2">
        <v>7</v>
      </c>
      <c r="D16" s="2">
        <f t="shared" si="9"/>
        <v>0</v>
      </c>
      <c r="E16" s="2"/>
      <c r="F16" s="81">
        <f t="shared" si="5"/>
        <v>0</v>
      </c>
      <c r="H16" s="11">
        <f t="shared" si="8"/>
        <v>0</v>
      </c>
      <c r="I16" s="55"/>
      <c r="J16" s="2">
        <v>7</v>
      </c>
      <c r="K16" s="2">
        <f t="shared" si="3"/>
        <v>1</v>
      </c>
      <c r="L16" s="34"/>
      <c r="M16" s="80">
        <f t="shared" si="4"/>
        <v>5.8611016691486079E-2</v>
      </c>
      <c r="O16" s="55"/>
      <c r="P16" s="2">
        <v>7</v>
      </c>
      <c r="Q16" s="2">
        <f t="shared" si="6"/>
        <v>0</v>
      </c>
      <c r="R16" s="2"/>
      <c r="S16" s="2">
        <f t="shared" si="0"/>
        <v>0</v>
      </c>
      <c r="U16" s="55"/>
      <c r="V16" s="2">
        <v>7</v>
      </c>
      <c r="W16" s="2">
        <f>IF(V16&lt;$D$1,1,0)</f>
        <v>1</v>
      </c>
      <c r="X16" s="2"/>
      <c r="Y16" s="2">
        <f t="shared" si="1"/>
        <v>5.8611016691486079E-2</v>
      </c>
      <c r="Z16" s="75"/>
      <c r="AB16" s="2">
        <v>7</v>
      </c>
      <c r="AC16" s="34">
        <f t="shared" si="7"/>
        <v>1</v>
      </c>
      <c r="AD16" s="2"/>
      <c r="AE16" s="2">
        <f t="shared" si="2"/>
        <v>5.8611016691486079E-2</v>
      </c>
    </row>
    <row r="17" spans="1:31" x14ac:dyDescent="0.2">
      <c r="A17" s="2">
        <v>8</v>
      </c>
      <c r="D17" s="2">
        <f t="shared" si="9"/>
        <v>0</v>
      </c>
      <c r="E17" s="2"/>
      <c r="F17" s="81">
        <f t="shared" si="5"/>
        <v>0</v>
      </c>
      <c r="H17" s="11">
        <f t="shared" si="8"/>
        <v>0</v>
      </c>
      <c r="I17" s="55"/>
      <c r="J17" s="2">
        <v>8</v>
      </c>
      <c r="K17" s="2">
        <f t="shared" si="3"/>
        <v>1</v>
      </c>
      <c r="L17" s="34"/>
      <c r="M17" s="80">
        <f t="shared" si="4"/>
        <v>5.7181479699010808E-2</v>
      </c>
      <c r="O17" s="55"/>
      <c r="P17" s="2">
        <v>8</v>
      </c>
      <c r="Q17" s="2">
        <f t="shared" si="6"/>
        <v>0</v>
      </c>
      <c r="R17" s="2"/>
      <c r="S17" s="2">
        <f t="shared" si="0"/>
        <v>0</v>
      </c>
      <c r="U17" s="55"/>
      <c r="V17" s="2">
        <v>8</v>
      </c>
      <c r="W17" s="2">
        <v>0</v>
      </c>
      <c r="X17" s="2"/>
      <c r="Y17" s="2">
        <f t="shared" si="1"/>
        <v>0</v>
      </c>
      <c r="Z17" s="75"/>
      <c r="AB17" s="2">
        <v>8</v>
      </c>
      <c r="AC17" s="34">
        <f t="shared" si="7"/>
        <v>0</v>
      </c>
      <c r="AD17" s="2"/>
      <c r="AE17" s="2">
        <f t="shared" si="2"/>
        <v>0</v>
      </c>
    </row>
    <row r="18" spans="1:31" x14ac:dyDescent="0.2">
      <c r="A18" s="2">
        <v>9</v>
      </c>
      <c r="D18" s="2">
        <f t="shared" si="9"/>
        <v>1</v>
      </c>
      <c r="E18" s="2"/>
      <c r="F18" s="81">
        <f t="shared" si="5"/>
        <v>4.8949274460562062E-2</v>
      </c>
      <c r="H18" s="11">
        <f t="shared" si="8"/>
        <v>9</v>
      </c>
      <c r="I18" s="55"/>
      <c r="J18" s="2">
        <v>9</v>
      </c>
      <c r="K18" s="2">
        <f t="shared" si="3"/>
        <v>1</v>
      </c>
      <c r="L18" s="34"/>
      <c r="M18" s="80">
        <f t="shared" si="4"/>
        <v>5.5786809462449585E-2</v>
      </c>
      <c r="O18" s="55"/>
      <c r="P18" s="2">
        <v>9</v>
      </c>
      <c r="Q18" s="2">
        <f t="shared" si="6"/>
        <v>1</v>
      </c>
      <c r="R18" s="2"/>
      <c r="S18" s="2">
        <f t="shared" si="0"/>
        <v>5.5786809462449585E-2</v>
      </c>
      <c r="U18" s="55"/>
      <c r="V18" s="2">
        <v>9</v>
      </c>
      <c r="W18" s="2">
        <f>IF(V18&lt;$D$1,1,0)</f>
        <v>1</v>
      </c>
      <c r="X18" s="2"/>
      <c r="Y18" s="2">
        <f t="shared" si="1"/>
        <v>5.5786809462449585E-2</v>
      </c>
      <c r="Z18" s="75"/>
      <c r="AB18" s="2">
        <v>9</v>
      </c>
      <c r="AC18" s="34">
        <f t="shared" si="7"/>
        <v>0</v>
      </c>
      <c r="AD18" s="2"/>
      <c r="AE18" s="2">
        <f t="shared" si="2"/>
        <v>0</v>
      </c>
    </row>
    <row r="19" spans="1:31" x14ac:dyDescent="0.2">
      <c r="A19" s="2">
        <v>10</v>
      </c>
      <c r="D19" s="2">
        <f t="shared" si="9"/>
        <v>0</v>
      </c>
      <c r="E19" s="2"/>
      <c r="F19" s="81">
        <f t="shared" si="5"/>
        <v>0</v>
      </c>
      <c r="H19" s="11">
        <f t="shared" si="8"/>
        <v>0</v>
      </c>
      <c r="I19" s="55"/>
      <c r="J19" s="2">
        <v>10</v>
      </c>
      <c r="K19" s="2">
        <f t="shared" si="3"/>
        <v>1</v>
      </c>
      <c r="L19" s="34"/>
      <c r="M19" s="80">
        <f t="shared" si="4"/>
        <v>5.442615557312154E-2</v>
      </c>
      <c r="O19" s="55"/>
      <c r="P19" s="2">
        <v>10</v>
      </c>
      <c r="Q19" s="2">
        <f t="shared" si="6"/>
        <v>0</v>
      </c>
      <c r="R19" s="2"/>
      <c r="S19" s="2">
        <f t="shared" si="0"/>
        <v>0</v>
      </c>
      <c r="U19" s="55"/>
      <c r="V19" s="2">
        <v>10</v>
      </c>
      <c r="W19" s="2">
        <v>0</v>
      </c>
      <c r="X19" s="2"/>
      <c r="Y19" s="2">
        <f t="shared" si="1"/>
        <v>0</v>
      </c>
      <c r="Z19" s="75"/>
      <c r="AB19" s="2">
        <v>10</v>
      </c>
      <c r="AC19" s="34">
        <f t="shared" si="7"/>
        <v>1</v>
      </c>
      <c r="AD19" s="2"/>
      <c r="AE19" s="2">
        <f t="shared" si="2"/>
        <v>5.442615557312154E-2</v>
      </c>
    </row>
    <row r="20" spans="1:31" x14ac:dyDescent="0.2">
      <c r="A20" s="2">
        <v>11</v>
      </c>
      <c r="D20" s="2">
        <f t="shared" si="9"/>
        <v>0</v>
      </c>
      <c r="E20" s="2"/>
      <c r="F20" s="81">
        <f t="shared" si="5"/>
        <v>0</v>
      </c>
      <c r="H20" s="11">
        <f t="shared" si="8"/>
        <v>0</v>
      </c>
      <c r="I20" s="55"/>
      <c r="J20" s="2">
        <v>11</v>
      </c>
      <c r="K20" s="2">
        <f t="shared" si="3"/>
        <v>1</v>
      </c>
      <c r="L20" s="34"/>
      <c r="M20" s="80">
        <f t="shared" si="4"/>
        <v>5.309868836402102E-2</v>
      </c>
      <c r="O20" s="55"/>
      <c r="P20" s="2">
        <v>11</v>
      </c>
      <c r="Q20" s="2">
        <f t="shared" si="6"/>
        <v>0</v>
      </c>
      <c r="R20" s="2"/>
      <c r="S20" s="2">
        <f t="shared" si="0"/>
        <v>0</v>
      </c>
      <c r="U20" s="55"/>
      <c r="V20" s="2">
        <v>11</v>
      </c>
      <c r="W20" s="2">
        <f>IF(V20&lt;$D$1,1,0)</f>
        <v>1</v>
      </c>
      <c r="X20" s="2"/>
      <c r="Y20" s="2">
        <f t="shared" si="1"/>
        <v>5.309868836402102E-2</v>
      </c>
      <c r="Z20" s="75"/>
      <c r="AB20" s="2">
        <v>11</v>
      </c>
      <c r="AC20" s="34">
        <f t="shared" si="7"/>
        <v>0</v>
      </c>
      <c r="AD20" s="2"/>
      <c r="AE20" s="2">
        <f t="shared" si="2"/>
        <v>0</v>
      </c>
    </row>
    <row r="21" spans="1:31" x14ac:dyDescent="0.2">
      <c r="A21" s="2">
        <v>12</v>
      </c>
      <c r="D21" s="2">
        <f t="shared" si="9"/>
        <v>1</v>
      </c>
      <c r="E21" s="2"/>
      <c r="F21" s="81">
        <f t="shared" si="5"/>
        <v>4.3515726755022882E-2</v>
      </c>
      <c r="H21" s="11">
        <f t="shared" si="8"/>
        <v>12</v>
      </c>
      <c r="I21" s="55"/>
      <c r="J21" s="2">
        <v>12</v>
      </c>
      <c r="K21" s="2">
        <f t="shared" si="3"/>
        <v>1</v>
      </c>
      <c r="L21" s="34"/>
      <c r="M21" s="80">
        <f t="shared" si="4"/>
        <v>5.180359840392295E-2</v>
      </c>
      <c r="O21" s="55"/>
      <c r="P21" s="2">
        <v>12</v>
      </c>
      <c r="Q21" s="2">
        <f t="shared" si="6"/>
        <v>1</v>
      </c>
      <c r="R21" s="2"/>
      <c r="S21" s="2">
        <f t="shared" si="0"/>
        <v>5.180359840392295E-2</v>
      </c>
      <c r="U21" s="55"/>
      <c r="V21" s="2">
        <v>12</v>
      </c>
      <c r="W21" s="2">
        <v>0</v>
      </c>
      <c r="X21" s="2"/>
      <c r="Y21" s="2">
        <f t="shared" si="1"/>
        <v>0</v>
      </c>
      <c r="Z21" s="75"/>
      <c r="AB21" s="2">
        <v>12</v>
      </c>
      <c r="AC21" s="34">
        <f t="shared" si="7"/>
        <v>0</v>
      </c>
      <c r="AD21" s="2"/>
      <c r="AE21" s="2">
        <f t="shared" si="2"/>
        <v>0</v>
      </c>
    </row>
    <row r="22" spans="1:31" x14ac:dyDescent="0.2">
      <c r="A22" s="2">
        <v>13</v>
      </c>
      <c r="D22" s="2">
        <f t="shared" si="9"/>
        <v>0</v>
      </c>
      <c r="E22" s="2"/>
      <c r="F22" s="81">
        <f t="shared" si="5"/>
        <v>0</v>
      </c>
      <c r="H22" s="11">
        <f t="shared" si="8"/>
        <v>0</v>
      </c>
      <c r="I22" s="55"/>
      <c r="J22" s="2">
        <v>13</v>
      </c>
      <c r="K22" s="2">
        <f t="shared" si="3"/>
        <v>1</v>
      </c>
      <c r="L22" s="34"/>
      <c r="M22" s="80">
        <f t="shared" si="4"/>
        <v>5.0540096003827265E-2</v>
      </c>
      <c r="O22" s="55"/>
      <c r="P22" s="2">
        <v>13</v>
      </c>
      <c r="Q22" s="2">
        <f t="shared" si="6"/>
        <v>0</v>
      </c>
      <c r="R22" s="2"/>
      <c r="S22" s="2">
        <f t="shared" si="0"/>
        <v>0</v>
      </c>
      <c r="U22" s="55"/>
      <c r="V22" s="2">
        <v>13</v>
      </c>
      <c r="W22" s="2">
        <f>IF(V22&lt;$D$1,1,0)</f>
        <v>1</v>
      </c>
      <c r="X22" s="2"/>
      <c r="Y22" s="2">
        <f t="shared" si="1"/>
        <v>5.0540096003827265E-2</v>
      </c>
      <c r="Z22" s="75"/>
      <c r="AB22" s="2">
        <v>13</v>
      </c>
      <c r="AC22" s="34">
        <f t="shared" si="7"/>
        <v>1</v>
      </c>
      <c r="AD22" s="2"/>
      <c r="AE22" s="2">
        <f t="shared" si="2"/>
        <v>5.0540096003827265E-2</v>
      </c>
    </row>
    <row r="23" spans="1:31" x14ac:dyDescent="0.2">
      <c r="A23" s="2">
        <v>14</v>
      </c>
      <c r="D23" s="2">
        <f t="shared" si="9"/>
        <v>0</v>
      </c>
      <c r="E23" s="2"/>
      <c r="F23" s="81">
        <f t="shared" si="5"/>
        <v>0</v>
      </c>
      <c r="H23" s="11">
        <f t="shared" si="8"/>
        <v>0</v>
      </c>
      <c r="I23" s="55"/>
      <c r="J23" s="2">
        <v>14</v>
      </c>
      <c r="K23" s="2">
        <f t="shared" si="3"/>
        <v>1</v>
      </c>
      <c r="L23" s="34"/>
      <c r="M23" s="80">
        <f t="shared" si="4"/>
        <v>4.9307410735441246E-2</v>
      </c>
      <c r="O23" s="55"/>
      <c r="P23" s="2">
        <v>14</v>
      </c>
      <c r="Q23" s="2">
        <f t="shared" si="6"/>
        <v>0</v>
      </c>
      <c r="R23" s="2"/>
      <c r="S23" s="2">
        <f t="shared" si="0"/>
        <v>0</v>
      </c>
      <c r="U23" s="55"/>
      <c r="V23" s="2">
        <v>14</v>
      </c>
      <c r="W23" s="2">
        <v>0</v>
      </c>
      <c r="X23" s="2"/>
      <c r="Y23" s="2">
        <f t="shared" si="1"/>
        <v>0</v>
      </c>
      <c r="Z23" s="75"/>
      <c r="AB23" s="2">
        <v>14</v>
      </c>
      <c r="AC23" s="34">
        <f t="shared" si="7"/>
        <v>0</v>
      </c>
      <c r="AD23" s="2"/>
      <c r="AE23" s="2">
        <f t="shared" si="2"/>
        <v>0</v>
      </c>
    </row>
    <row r="24" spans="1:31" x14ac:dyDescent="0.2">
      <c r="A24" s="2">
        <v>15</v>
      </c>
      <c r="D24" s="2">
        <f t="shared" si="9"/>
        <v>1</v>
      </c>
      <c r="E24" s="2"/>
      <c r="F24" s="81">
        <f t="shared" si="5"/>
        <v>3.8685322630133849E-2</v>
      </c>
      <c r="H24" s="11">
        <f t="shared" si="8"/>
        <v>15</v>
      </c>
      <c r="I24" s="55"/>
      <c r="J24" s="2">
        <v>15</v>
      </c>
      <c r="K24" s="2">
        <f t="shared" si="3"/>
        <v>1</v>
      </c>
      <c r="L24" s="34"/>
      <c r="M24" s="80">
        <f t="shared" si="4"/>
        <v>4.8104790961406088E-2</v>
      </c>
      <c r="O24" s="55"/>
      <c r="P24" s="2">
        <v>15</v>
      </c>
      <c r="Q24" s="2">
        <f t="shared" si="6"/>
        <v>1</v>
      </c>
      <c r="R24" s="2"/>
      <c r="S24" s="2">
        <f t="shared" si="0"/>
        <v>4.8104790961406088E-2</v>
      </c>
      <c r="U24" s="55"/>
      <c r="V24" s="2">
        <v>15</v>
      </c>
      <c r="W24" s="2">
        <f>IF(V24&lt;$D$1,1,0)</f>
        <v>1</v>
      </c>
      <c r="X24" s="2"/>
      <c r="Y24" s="2">
        <f t="shared" si="1"/>
        <v>4.8104790961406088E-2</v>
      </c>
      <c r="Z24" s="75"/>
      <c r="AB24" s="2">
        <v>15</v>
      </c>
      <c r="AC24" s="34">
        <f t="shared" si="7"/>
        <v>0</v>
      </c>
      <c r="AD24" s="2"/>
      <c r="AE24" s="2">
        <f t="shared" si="2"/>
        <v>0</v>
      </c>
    </row>
    <row r="25" spans="1:31" x14ac:dyDescent="0.2">
      <c r="A25" s="2">
        <v>16</v>
      </c>
      <c r="D25" s="2">
        <f t="shared" si="9"/>
        <v>0</v>
      </c>
      <c r="E25" s="2"/>
      <c r="F25" s="81">
        <f t="shared" si="5"/>
        <v>0</v>
      </c>
      <c r="H25" s="11">
        <f t="shared" si="8"/>
        <v>0</v>
      </c>
      <c r="I25" s="55"/>
      <c r="J25" s="2">
        <v>16</v>
      </c>
      <c r="K25" s="2">
        <f t="shared" si="3"/>
        <v>1</v>
      </c>
      <c r="L25" s="34"/>
      <c r="M25" s="80">
        <f t="shared" si="4"/>
        <v>4.693150337698155E-2</v>
      </c>
      <c r="O25" s="55"/>
      <c r="P25" s="2">
        <v>16</v>
      </c>
      <c r="Q25" s="2">
        <f t="shared" si="6"/>
        <v>0</v>
      </c>
      <c r="R25" s="2"/>
      <c r="S25" s="2">
        <f t="shared" si="0"/>
        <v>0</v>
      </c>
      <c r="U25" s="55"/>
      <c r="V25" s="2">
        <v>16</v>
      </c>
      <c r="W25" s="2">
        <v>0</v>
      </c>
      <c r="X25" s="2"/>
      <c r="Y25" s="2">
        <f t="shared" si="1"/>
        <v>0</v>
      </c>
      <c r="Z25" s="75"/>
      <c r="AB25" s="2">
        <v>16</v>
      </c>
      <c r="AC25" s="34">
        <f t="shared" si="7"/>
        <v>1</v>
      </c>
      <c r="AD25" s="2"/>
      <c r="AE25" s="2">
        <f t="shared" si="2"/>
        <v>4.693150337698155E-2</v>
      </c>
    </row>
    <row r="26" spans="1:31" x14ac:dyDescent="0.2">
      <c r="A26" s="2">
        <v>17</v>
      </c>
      <c r="D26" s="2">
        <f t="shared" si="9"/>
        <v>0</v>
      </c>
      <c r="E26" s="2"/>
      <c r="F26" s="81">
        <f t="shared" si="5"/>
        <v>0</v>
      </c>
      <c r="H26" s="11">
        <f t="shared" si="8"/>
        <v>0</v>
      </c>
      <c r="I26" s="55"/>
      <c r="J26" s="2">
        <v>17</v>
      </c>
      <c r="K26" s="2">
        <f t="shared" si="3"/>
        <v>1</v>
      </c>
      <c r="L26" s="34"/>
      <c r="M26" s="80">
        <f t="shared" si="4"/>
        <v>4.578683256290883E-2</v>
      </c>
      <c r="O26" s="55"/>
      <c r="P26" s="2">
        <v>17</v>
      </c>
      <c r="Q26" s="2">
        <f t="shared" si="6"/>
        <v>0</v>
      </c>
      <c r="R26" s="2"/>
      <c r="S26" s="2">
        <f t="shared" si="0"/>
        <v>0</v>
      </c>
      <c r="U26" s="55"/>
      <c r="V26" s="2">
        <v>17</v>
      </c>
      <c r="W26" s="2">
        <f>IF(V26&lt;$D$1,1,0)</f>
        <v>1</v>
      </c>
      <c r="X26" s="2"/>
      <c r="Y26" s="2">
        <f t="shared" si="1"/>
        <v>4.578683256290883E-2</v>
      </c>
      <c r="Z26" s="75"/>
      <c r="AB26" s="2">
        <v>17</v>
      </c>
      <c r="AC26" s="34">
        <f t="shared" si="7"/>
        <v>0</v>
      </c>
      <c r="AD26" s="2"/>
      <c r="AE26" s="2">
        <f t="shared" si="2"/>
        <v>0</v>
      </c>
    </row>
    <row r="27" spans="1:31" x14ac:dyDescent="0.2">
      <c r="A27" s="2">
        <v>18</v>
      </c>
      <c r="D27" s="2">
        <f t="shared" si="9"/>
        <v>1</v>
      </c>
      <c r="E27" s="2"/>
      <c r="F27" s="81">
        <f t="shared" si="5"/>
        <v>3.4391110952198517E-2</v>
      </c>
      <c r="H27" s="11">
        <f t="shared" si="8"/>
        <v>18</v>
      </c>
      <c r="I27" s="55"/>
      <c r="J27" s="2">
        <v>18</v>
      </c>
      <c r="K27" s="2">
        <f t="shared" si="3"/>
        <v>1</v>
      </c>
      <c r="L27" s="34"/>
      <c r="M27" s="80">
        <f t="shared" si="4"/>
        <v>4.4670080549179349E-2</v>
      </c>
      <c r="O27" s="55"/>
      <c r="P27" s="2">
        <v>18</v>
      </c>
      <c r="Q27" s="2">
        <f t="shared" si="6"/>
        <v>0</v>
      </c>
      <c r="R27" s="2"/>
      <c r="S27" s="2">
        <f t="shared" si="0"/>
        <v>0</v>
      </c>
      <c r="U27" s="55"/>
      <c r="V27" s="2">
        <v>18</v>
      </c>
      <c r="W27" s="2">
        <v>0</v>
      </c>
      <c r="X27" s="2"/>
      <c r="Y27" s="2">
        <f t="shared" si="1"/>
        <v>0</v>
      </c>
      <c r="Z27" s="75"/>
      <c r="AB27" s="2">
        <v>18</v>
      </c>
      <c r="AC27" s="34">
        <f t="shared" si="7"/>
        <v>0</v>
      </c>
      <c r="AD27" s="2"/>
      <c r="AE27" s="2">
        <f t="shared" si="2"/>
        <v>0</v>
      </c>
    </row>
    <row r="28" spans="1:31" x14ac:dyDescent="0.2">
      <c r="A28" s="2">
        <v>19</v>
      </c>
      <c r="D28" s="2">
        <f t="shared" si="9"/>
        <v>0</v>
      </c>
      <c r="E28" s="2"/>
      <c r="F28" s="81">
        <f t="shared" si="5"/>
        <v>0</v>
      </c>
      <c r="H28" s="11">
        <f t="shared" si="8"/>
        <v>0</v>
      </c>
      <c r="I28" s="55"/>
      <c r="J28" s="2">
        <v>19</v>
      </c>
      <c r="K28" s="2">
        <f t="shared" si="3"/>
        <v>0</v>
      </c>
      <c r="L28" s="34"/>
      <c r="M28" s="80">
        <f t="shared" si="4"/>
        <v>0</v>
      </c>
      <c r="O28" s="55"/>
      <c r="P28" s="2">
        <v>19</v>
      </c>
      <c r="Q28" s="2">
        <f t="shared" si="6"/>
        <v>0</v>
      </c>
      <c r="R28" s="2"/>
      <c r="S28" s="2">
        <f t="shared" si="0"/>
        <v>0</v>
      </c>
      <c r="U28" s="55"/>
      <c r="V28" s="2">
        <v>19</v>
      </c>
      <c r="W28" s="2">
        <f>IF(V28&lt;$D$1,1,0)</f>
        <v>0</v>
      </c>
      <c r="X28" s="2"/>
      <c r="Y28" s="2">
        <f t="shared" si="1"/>
        <v>0</v>
      </c>
      <c r="Z28" s="75"/>
      <c r="AB28" s="2">
        <v>19</v>
      </c>
      <c r="AC28" s="34">
        <f t="shared" si="7"/>
        <v>0</v>
      </c>
      <c r="AD28" s="2"/>
      <c r="AE28" s="2">
        <f t="shared" si="2"/>
        <v>0</v>
      </c>
    </row>
    <row r="29" spans="1:31" x14ac:dyDescent="0.2">
      <c r="A29" s="2">
        <v>20</v>
      </c>
      <c r="D29" s="2">
        <f t="shared" si="9"/>
        <v>0</v>
      </c>
      <c r="E29" s="2"/>
      <c r="F29" s="81">
        <f t="shared" si="5"/>
        <v>0</v>
      </c>
      <c r="H29" s="11">
        <f t="shared" si="8"/>
        <v>0</v>
      </c>
      <c r="I29" s="55"/>
      <c r="J29" s="2">
        <v>20</v>
      </c>
      <c r="K29" s="2">
        <f t="shared" si="3"/>
        <v>0</v>
      </c>
      <c r="L29" s="34"/>
      <c r="M29" s="80">
        <f t="shared" si="4"/>
        <v>0</v>
      </c>
      <c r="O29" s="55"/>
      <c r="P29" s="2">
        <v>20</v>
      </c>
      <c r="Q29" s="2">
        <f t="shared" si="6"/>
        <v>0</v>
      </c>
      <c r="R29" s="2"/>
      <c r="S29" s="2">
        <f t="shared" si="0"/>
        <v>0</v>
      </c>
      <c r="U29" s="55"/>
      <c r="V29" s="2">
        <v>20</v>
      </c>
      <c r="W29" s="2">
        <v>0</v>
      </c>
      <c r="X29" s="2"/>
      <c r="Y29" s="2">
        <f t="shared" si="1"/>
        <v>0</v>
      </c>
      <c r="Z29" s="75"/>
      <c r="AB29" s="2">
        <v>20</v>
      </c>
      <c r="AC29" s="34">
        <f t="shared" si="7"/>
        <v>0</v>
      </c>
      <c r="AD29" s="2"/>
      <c r="AE29" s="2">
        <f t="shared" si="2"/>
        <v>0</v>
      </c>
    </row>
    <row r="30" spans="1:31" x14ac:dyDescent="0.2">
      <c r="A30" s="2">
        <v>21</v>
      </c>
      <c r="D30" s="2">
        <f t="shared" si="9"/>
        <v>0</v>
      </c>
      <c r="E30" s="2"/>
      <c r="F30" s="81">
        <f t="shared" si="5"/>
        <v>0</v>
      </c>
      <c r="H30" s="11">
        <f t="shared" si="8"/>
        <v>0</v>
      </c>
      <c r="I30" s="55"/>
      <c r="J30" s="2">
        <v>21</v>
      </c>
      <c r="K30" s="2">
        <f t="shared" si="3"/>
        <v>0</v>
      </c>
      <c r="L30" s="34"/>
      <c r="M30" s="80">
        <f t="shared" si="4"/>
        <v>0</v>
      </c>
      <c r="O30" s="55"/>
      <c r="P30" s="2">
        <v>21</v>
      </c>
      <c r="Q30" s="2">
        <f t="shared" si="6"/>
        <v>0</v>
      </c>
      <c r="R30" s="2"/>
      <c r="S30" s="2">
        <f t="shared" si="0"/>
        <v>0</v>
      </c>
      <c r="U30" s="55"/>
      <c r="V30" s="2">
        <v>21</v>
      </c>
      <c r="W30" s="2">
        <f>IF(V30&lt;$D$1,1,0)</f>
        <v>0</v>
      </c>
      <c r="X30" s="2"/>
      <c r="Y30" s="2">
        <f t="shared" si="1"/>
        <v>0</v>
      </c>
      <c r="Z30" s="75"/>
      <c r="AB30" s="2">
        <v>21</v>
      </c>
      <c r="AC30" s="34">
        <f t="shared" si="7"/>
        <v>0</v>
      </c>
      <c r="AD30" s="2"/>
      <c r="AE30" s="2">
        <f t="shared" si="2"/>
        <v>0</v>
      </c>
    </row>
    <row r="31" spans="1:31" x14ac:dyDescent="0.2">
      <c r="A31" s="2">
        <v>22</v>
      </c>
      <c r="D31" s="2">
        <f t="shared" si="9"/>
        <v>0</v>
      </c>
      <c r="F31" s="81">
        <f t="shared" si="5"/>
        <v>0</v>
      </c>
      <c r="H31" s="11">
        <f t="shared" si="8"/>
        <v>0</v>
      </c>
      <c r="I31" s="55"/>
      <c r="J31" s="2">
        <v>22</v>
      </c>
      <c r="K31" s="2">
        <f t="shared" si="3"/>
        <v>0</v>
      </c>
      <c r="L31" s="21"/>
      <c r="M31" s="80">
        <f t="shared" si="4"/>
        <v>0</v>
      </c>
      <c r="O31" s="55"/>
      <c r="P31" s="2">
        <v>22</v>
      </c>
      <c r="Q31" s="2">
        <f t="shared" si="6"/>
        <v>0</v>
      </c>
      <c r="S31" s="3">
        <f t="shared" si="0"/>
        <v>0</v>
      </c>
      <c r="U31" s="55"/>
      <c r="V31" s="2">
        <v>22</v>
      </c>
      <c r="W31" s="2">
        <v>0</v>
      </c>
      <c r="X31" s="2"/>
      <c r="Y31" s="3">
        <f t="shared" si="1"/>
        <v>0</v>
      </c>
      <c r="Z31" s="75"/>
      <c r="AB31" s="2">
        <v>22</v>
      </c>
      <c r="AC31" s="34">
        <f t="shared" si="7"/>
        <v>0</v>
      </c>
      <c r="AE31" s="3">
        <f t="shared" si="2"/>
        <v>0</v>
      </c>
    </row>
    <row r="32" spans="1:31" x14ac:dyDescent="0.2">
      <c r="A32" s="2">
        <v>23</v>
      </c>
      <c r="D32" s="2">
        <f t="shared" si="9"/>
        <v>0</v>
      </c>
      <c r="F32" s="81">
        <f t="shared" si="5"/>
        <v>0</v>
      </c>
      <c r="H32" s="11">
        <f t="shared" si="8"/>
        <v>0</v>
      </c>
      <c r="I32" s="55"/>
      <c r="J32" s="2">
        <v>23</v>
      </c>
      <c r="K32" s="2">
        <f t="shared" si="3"/>
        <v>0</v>
      </c>
      <c r="L32" s="21"/>
      <c r="M32" s="80">
        <f t="shared" si="4"/>
        <v>0</v>
      </c>
      <c r="O32" s="55"/>
      <c r="P32" s="2">
        <v>23</v>
      </c>
      <c r="Q32" s="2">
        <f t="shared" si="6"/>
        <v>0</v>
      </c>
      <c r="S32" s="3">
        <f t="shared" si="0"/>
        <v>0</v>
      </c>
      <c r="U32" s="55"/>
      <c r="V32" s="2">
        <v>23</v>
      </c>
      <c r="W32" s="2">
        <f>IF(V32&lt;$D$1,1,0)</f>
        <v>0</v>
      </c>
      <c r="X32" s="2"/>
      <c r="Y32" s="3">
        <f t="shared" si="1"/>
        <v>0</v>
      </c>
      <c r="Z32" s="75"/>
      <c r="AB32" s="2">
        <v>23</v>
      </c>
      <c r="AC32" s="34">
        <f t="shared" si="7"/>
        <v>0</v>
      </c>
      <c r="AE32" s="3">
        <f t="shared" si="2"/>
        <v>0</v>
      </c>
    </row>
    <row r="33" spans="1:31" x14ac:dyDescent="0.2">
      <c r="A33" s="2">
        <v>24</v>
      </c>
      <c r="D33" s="2">
        <f t="shared" si="9"/>
        <v>0</v>
      </c>
      <c r="F33" s="81">
        <f t="shared" si="5"/>
        <v>0</v>
      </c>
      <c r="H33" s="11">
        <f t="shared" si="8"/>
        <v>0</v>
      </c>
      <c r="I33" s="55"/>
      <c r="J33" s="2">
        <v>24</v>
      </c>
      <c r="K33" s="2">
        <f t="shared" si="3"/>
        <v>0</v>
      </c>
      <c r="L33" s="21"/>
      <c r="M33" s="80">
        <f t="shared" si="4"/>
        <v>0</v>
      </c>
      <c r="O33" s="55"/>
      <c r="P33" s="2">
        <v>24</v>
      </c>
      <c r="Q33" s="2">
        <f t="shared" si="6"/>
        <v>0</v>
      </c>
      <c r="S33" s="3">
        <f t="shared" si="0"/>
        <v>0</v>
      </c>
      <c r="U33" s="55"/>
      <c r="V33" s="2">
        <v>24</v>
      </c>
      <c r="W33" s="2">
        <v>0</v>
      </c>
      <c r="X33" s="2"/>
      <c r="Y33" s="3">
        <f t="shared" si="1"/>
        <v>0</v>
      </c>
      <c r="Z33" s="75"/>
      <c r="AB33" s="2">
        <v>24</v>
      </c>
      <c r="AC33" s="34">
        <f t="shared" si="7"/>
        <v>0</v>
      </c>
      <c r="AE33" s="3">
        <f t="shared" si="2"/>
        <v>0</v>
      </c>
    </row>
    <row r="34" spans="1:31" x14ac:dyDescent="0.2">
      <c r="A34" s="2">
        <v>25</v>
      </c>
      <c r="D34" s="2">
        <f t="shared" si="9"/>
        <v>0</v>
      </c>
      <c r="F34" s="81">
        <f t="shared" si="5"/>
        <v>0</v>
      </c>
      <c r="H34" s="11">
        <f t="shared" si="8"/>
        <v>0</v>
      </c>
      <c r="I34" s="55"/>
      <c r="J34" s="2">
        <v>25</v>
      </c>
      <c r="K34" s="2">
        <f t="shared" si="3"/>
        <v>0</v>
      </c>
      <c r="L34" s="21"/>
      <c r="M34" s="80">
        <f t="shared" si="4"/>
        <v>0</v>
      </c>
      <c r="O34" s="55"/>
      <c r="P34" s="2">
        <v>25</v>
      </c>
      <c r="Q34" s="2">
        <f t="shared" si="6"/>
        <v>0</v>
      </c>
      <c r="S34" s="3">
        <f t="shared" si="0"/>
        <v>0</v>
      </c>
      <c r="U34" s="55"/>
      <c r="V34" s="2">
        <v>25</v>
      </c>
      <c r="W34" s="2">
        <f>IF(V34&lt;$D$1,1,0)</f>
        <v>0</v>
      </c>
      <c r="X34" s="2"/>
      <c r="Y34" s="3">
        <f t="shared" si="1"/>
        <v>0</v>
      </c>
      <c r="Z34" s="75"/>
      <c r="AB34" s="2">
        <v>25</v>
      </c>
      <c r="AC34" s="34">
        <f t="shared" si="7"/>
        <v>0</v>
      </c>
      <c r="AE34" s="3">
        <f t="shared" si="2"/>
        <v>0</v>
      </c>
    </row>
    <row r="35" spans="1:31" x14ac:dyDescent="0.2">
      <c r="A35" s="2">
        <v>26</v>
      </c>
      <c r="D35" s="2">
        <f t="shared" si="9"/>
        <v>0</v>
      </c>
      <c r="F35" s="81">
        <f t="shared" si="5"/>
        <v>0</v>
      </c>
      <c r="H35" s="11">
        <f t="shared" si="8"/>
        <v>0</v>
      </c>
      <c r="I35" s="55"/>
      <c r="J35" s="2">
        <v>26</v>
      </c>
      <c r="K35" s="2">
        <f t="shared" si="3"/>
        <v>0</v>
      </c>
      <c r="L35" s="21"/>
      <c r="M35" s="80">
        <f t="shared" si="4"/>
        <v>0</v>
      </c>
      <c r="O35" s="55"/>
      <c r="P35" s="2">
        <v>26</v>
      </c>
      <c r="Q35" s="2">
        <f t="shared" si="6"/>
        <v>0</v>
      </c>
      <c r="S35" s="3">
        <f t="shared" si="0"/>
        <v>0</v>
      </c>
      <c r="U35" s="55"/>
      <c r="V35" s="2">
        <v>26</v>
      </c>
      <c r="W35" s="2">
        <v>0</v>
      </c>
      <c r="X35" s="2"/>
      <c r="Y35" s="3">
        <f t="shared" si="1"/>
        <v>0</v>
      </c>
      <c r="Z35" s="75"/>
      <c r="AB35" s="2">
        <v>26</v>
      </c>
      <c r="AC35" s="34">
        <f t="shared" si="7"/>
        <v>0</v>
      </c>
      <c r="AE35" s="3">
        <f t="shared" si="2"/>
        <v>0</v>
      </c>
    </row>
    <row r="36" spans="1:31" x14ac:dyDescent="0.2">
      <c r="A36" s="2">
        <v>27</v>
      </c>
      <c r="D36" s="2">
        <f t="shared" si="9"/>
        <v>0</v>
      </c>
      <c r="F36" s="81">
        <f t="shared" si="5"/>
        <v>0</v>
      </c>
      <c r="H36" s="11">
        <f t="shared" si="8"/>
        <v>0</v>
      </c>
      <c r="I36" s="55"/>
      <c r="J36" s="2">
        <v>27</v>
      </c>
      <c r="K36" s="2">
        <f t="shared" si="3"/>
        <v>0</v>
      </c>
      <c r="L36" s="21"/>
      <c r="M36" s="80">
        <f t="shared" si="4"/>
        <v>0</v>
      </c>
      <c r="O36" s="55"/>
      <c r="P36" s="2">
        <v>27</v>
      </c>
      <c r="Q36" s="2">
        <f t="shared" si="6"/>
        <v>0</v>
      </c>
      <c r="S36" s="3">
        <f t="shared" si="0"/>
        <v>0</v>
      </c>
      <c r="U36" s="55"/>
      <c r="V36" s="2">
        <v>27</v>
      </c>
      <c r="W36" s="2">
        <f>IF(V36&lt;$D$1,1,0)</f>
        <v>0</v>
      </c>
      <c r="X36" s="2"/>
      <c r="Y36" s="3">
        <f t="shared" si="1"/>
        <v>0</v>
      </c>
      <c r="Z36" s="75"/>
      <c r="AB36" s="2">
        <v>27</v>
      </c>
      <c r="AC36" s="34">
        <f t="shared" si="7"/>
        <v>0</v>
      </c>
      <c r="AE36" s="3">
        <f t="shared" si="2"/>
        <v>0</v>
      </c>
    </row>
    <row r="37" spans="1:31" x14ac:dyDescent="0.2">
      <c r="A37" s="2">
        <v>28</v>
      </c>
      <c r="D37" s="2">
        <f t="shared" si="9"/>
        <v>0</v>
      </c>
      <c r="F37" s="81">
        <f t="shared" si="5"/>
        <v>0</v>
      </c>
      <c r="H37" s="11">
        <f t="shared" si="8"/>
        <v>0</v>
      </c>
      <c r="I37" s="55"/>
      <c r="J37" s="2">
        <v>28</v>
      </c>
      <c r="K37" s="2">
        <f t="shared" si="3"/>
        <v>0</v>
      </c>
      <c r="L37" s="21"/>
      <c r="M37" s="80">
        <f t="shared" si="4"/>
        <v>0</v>
      </c>
      <c r="O37" s="55"/>
      <c r="P37" s="2">
        <v>28</v>
      </c>
      <c r="Q37" s="2">
        <f t="shared" si="6"/>
        <v>0</v>
      </c>
      <c r="S37" s="3">
        <f t="shared" si="0"/>
        <v>0</v>
      </c>
      <c r="U37" s="55"/>
      <c r="V37" s="2">
        <v>28</v>
      </c>
      <c r="W37" s="2">
        <v>0</v>
      </c>
      <c r="X37" s="2"/>
      <c r="Y37" s="3">
        <f t="shared" si="1"/>
        <v>0</v>
      </c>
      <c r="Z37" s="75"/>
      <c r="AB37" s="2">
        <v>28</v>
      </c>
      <c r="AC37" s="34">
        <f t="shared" si="7"/>
        <v>0</v>
      </c>
      <c r="AE37" s="3">
        <f t="shared" si="2"/>
        <v>0</v>
      </c>
    </row>
    <row r="38" spans="1:31" x14ac:dyDescent="0.2">
      <c r="A38" s="2">
        <v>29</v>
      </c>
      <c r="D38" s="2">
        <f t="shared" si="9"/>
        <v>0</v>
      </c>
      <c r="F38" s="81">
        <f t="shared" si="5"/>
        <v>0</v>
      </c>
      <c r="H38" s="11">
        <f t="shared" si="8"/>
        <v>0</v>
      </c>
      <c r="I38" s="55"/>
      <c r="J38" s="2">
        <v>29</v>
      </c>
      <c r="K38" s="2">
        <f t="shared" si="3"/>
        <v>0</v>
      </c>
      <c r="L38" s="21"/>
      <c r="M38" s="80">
        <f t="shared" si="4"/>
        <v>0</v>
      </c>
      <c r="O38" s="55"/>
      <c r="P38" s="2">
        <v>29</v>
      </c>
      <c r="Q38" s="2">
        <f t="shared" si="6"/>
        <v>0</v>
      </c>
      <c r="S38" s="3">
        <f t="shared" si="0"/>
        <v>0</v>
      </c>
      <c r="U38" s="55"/>
      <c r="V38" s="2">
        <v>29</v>
      </c>
      <c r="W38" s="2">
        <f>IF(V38&lt;$D$1,1,0)</f>
        <v>0</v>
      </c>
      <c r="X38" s="2"/>
      <c r="Y38" s="3">
        <f t="shared" si="1"/>
        <v>0</v>
      </c>
      <c r="Z38" s="75"/>
      <c r="AB38" s="2">
        <v>29</v>
      </c>
      <c r="AC38" s="34">
        <f t="shared" si="7"/>
        <v>0</v>
      </c>
      <c r="AE38" s="3">
        <f t="shared" si="2"/>
        <v>0</v>
      </c>
    </row>
    <row r="39" spans="1:31" ht="13.5" thickBot="1" x14ac:dyDescent="0.25">
      <c r="A39" s="24">
        <v>30</v>
      </c>
      <c r="B39" s="27"/>
      <c r="C39" s="27"/>
      <c r="D39" s="24">
        <f t="shared" si="9"/>
        <v>0</v>
      </c>
      <c r="E39" s="27"/>
      <c r="F39" s="46">
        <f t="shared" si="5"/>
        <v>0</v>
      </c>
      <c r="G39" s="46"/>
      <c r="H39" s="31">
        <f t="shared" si="8"/>
        <v>0</v>
      </c>
      <c r="I39" s="55"/>
      <c r="J39" s="24">
        <v>30</v>
      </c>
      <c r="K39" s="24">
        <f t="shared" si="3"/>
        <v>0</v>
      </c>
      <c r="L39" s="27"/>
      <c r="M39" s="27">
        <f t="shared" si="4"/>
        <v>0</v>
      </c>
      <c r="N39" s="46"/>
      <c r="O39" s="55"/>
      <c r="P39" s="24">
        <v>30</v>
      </c>
      <c r="Q39" s="2">
        <f t="shared" si="6"/>
        <v>0</v>
      </c>
      <c r="R39" s="27"/>
      <c r="S39" s="27">
        <f t="shared" si="0"/>
        <v>0</v>
      </c>
      <c r="T39" s="46"/>
      <c r="U39" s="55"/>
      <c r="V39" s="24">
        <v>30</v>
      </c>
      <c r="W39" s="27">
        <v>0</v>
      </c>
      <c r="X39" s="27"/>
      <c r="Y39" s="27">
        <f t="shared" si="1"/>
        <v>0</v>
      </c>
      <c r="Z39" s="76"/>
      <c r="AB39" s="24">
        <v>30</v>
      </c>
      <c r="AC39" s="34">
        <f t="shared" si="7"/>
        <v>0</v>
      </c>
      <c r="AD39" s="27"/>
      <c r="AE39" s="27">
        <f t="shared" si="2"/>
        <v>0</v>
      </c>
    </row>
    <row r="40" spans="1:31" ht="5.25" customHeight="1" x14ac:dyDescent="0.2">
      <c r="I40" s="55"/>
      <c r="O40" s="55"/>
      <c r="U40" s="55"/>
      <c r="Y40" s="21"/>
      <c r="Z40" s="75"/>
    </row>
    <row r="41" spans="1:31" ht="13.5" thickBot="1" x14ac:dyDescent="0.25">
      <c r="A41" s="47" t="s">
        <v>33</v>
      </c>
      <c r="B41" s="48"/>
      <c r="C41" s="48"/>
      <c r="D41" s="49">
        <f>SUM(D9:D39)</f>
        <v>6</v>
      </c>
      <c r="E41" s="48"/>
      <c r="F41" s="48">
        <f>SUM(F10:F39)</f>
        <v>0.28253915938125274</v>
      </c>
      <c r="G41" s="48"/>
      <c r="H41" s="48"/>
      <c r="I41" s="55"/>
      <c r="J41" s="47" t="s">
        <v>33</v>
      </c>
      <c r="K41" s="49">
        <f>SUM(K9:K39)</f>
        <v>19</v>
      </c>
      <c r="L41" s="48"/>
      <c r="M41" s="48">
        <f>SUM(M10:M39)</f>
        <v>1.0000000000000004</v>
      </c>
      <c r="N41" s="48"/>
      <c r="O41" s="55"/>
      <c r="P41" s="47" t="s">
        <v>33</v>
      </c>
      <c r="Q41" s="49">
        <f>SUM(Q9:Q39)</f>
        <v>5</v>
      </c>
      <c r="R41" s="48"/>
      <c r="S41" s="48">
        <f>SUM(S10:S39)</f>
        <v>0.28046708669325121</v>
      </c>
      <c r="T41" s="48"/>
      <c r="U41" s="55"/>
      <c r="V41" s="47" t="s">
        <v>33</v>
      </c>
      <c r="W41" s="49">
        <f>SUM(W9:W39)</f>
        <v>9</v>
      </c>
      <c r="X41" s="48"/>
      <c r="Y41" s="48">
        <f>SUM(Y10:Y39)</f>
        <v>0.50617283950617298</v>
      </c>
      <c r="Z41" s="77"/>
      <c r="AB41" s="47" t="s">
        <v>33</v>
      </c>
      <c r="AC41" s="49">
        <f>SUM(AC9:AC39)</f>
        <v>5</v>
      </c>
      <c r="AD41" s="48"/>
      <c r="AE41" s="48">
        <f>SUM(AE10:AE39)</f>
        <v>0.27362642604219628</v>
      </c>
    </row>
    <row r="42" spans="1:31" ht="14.25" thickTop="1" thickBot="1" x14ac:dyDescent="0.25">
      <c r="A42" s="78" t="s">
        <v>46</v>
      </c>
      <c r="B42" s="78"/>
      <c r="C42" s="78"/>
      <c r="D42" s="78">
        <f>D41-D12</f>
        <v>5</v>
      </c>
      <c r="E42" s="78"/>
      <c r="F42" s="78">
        <f>F41-F12-F13</f>
        <v>0.22060271146472299</v>
      </c>
      <c r="G42" s="78"/>
      <c r="H42" s="78"/>
    </row>
    <row r="43" spans="1:31" ht="13.5" thickTop="1" x14ac:dyDescent="0.2"/>
    <row r="46" spans="1:31" x14ac:dyDescent="0.2">
      <c r="H46" s="3">
        <f>L2</f>
        <v>3</v>
      </c>
      <c r="I46" s="3">
        <f>H46</f>
        <v>3</v>
      </c>
    </row>
    <row r="47" spans="1:31" x14ac:dyDescent="0.2">
      <c r="H47" s="3">
        <f>IF((H46+$L$3)&lt;=$D$1,(H46+$L$3),IR)</f>
        <v>6</v>
      </c>
      <c r="I47" s="3">
        <f t="shared" ref="I47:I56" si="10">H47</f>
        <v>6</v>
      </c>
    </row>
    <row r="48" spans="1:31" x14ac:dyDescent="0.2">
      <c r="H48" s="3">
        <f>IF((H47+$L$3)&lt;=$D$1,(H47+$L$3),IR)</f>
        <v>9</v>
      </c>
      <c r="I48" s="3">
        <f t="shared" si="10"/>
        <v>9</v>
      </c>
    </row>
    <row r="49" spans="8:9" x14ac:dyDescent="0.2">
      <c r="H49" s="3">
        <f>IF((H48+$L$3)&lt;=$D$1,(H48+$L$3),IR)</f>
        <v>12</v>
      </c>
      <c r="I49" s="3">
        <f t="shared" si="10"/>
        <v>12</v>
      </c>
    </row>
    <row r="50" spans="8:9" x14ac:dyDescent="0.2">
      <c r="H50" s="3">
        <f>IF((H49+$L$3)&lt;=$D$1,(H49+$L$3),IR)</f>
        <v>15</v>
      </c>
      <c r="I50" s="3">
        <f t="shared" si="10"/>
        <v>15</v>
      </c>
    </row>
    <row r="51" spans="8:9" x14ac:dyDescent="0.2">
      <c r="H51" s="3">
        <f>IF((H50+$L$3)&lt;=$D$1,(H50+$L$3),IR)</f>
        <v>18</v>
      </c>
      <c r="I51" s="3">
        <f t="shared" si="10"/>
        <v>18</v>
      </c>
    </row>
    <row r="52" spans="8:9" x14ac:dyDescent="0.2">
      <c r="H52" s="3" t="e">
        <f>IF((H51+$L$3)&lt;=$D$1,(H51+$L$3),IR)</f>
        <v>#NAME?</v>
      </c>
      <c r="I52" s="3" t="e">
        <f t="shared" si="10"/>
        <v>#NAME?</v>
      </c>
    </row>
    <row r="53" spans="8:9" x14ac:dyDescent="0.2">
      <c r="H53" s="3" t="e">
        <f>IF((H52+$L$3)&lt;=$D$1,(H52+$L$3),IR)</f>
        <v>#NAME?</v>
      </c>
      <c r="I53" s="3" t="e">
        <f t="shared" si="10"/>
        <v>#NAME?</v>
      </c>
    </row>
    <row r="54" spans="8:9" x14ac:dyDescent="0.2">
      <c r="H54" s="3" t="e">
        <f>IF((H53+$L$3)&lt;=$D$1,(H53+$L$3),IR)</f>
        <v>#NAME?</v>
      </c>
      <c r="I54" s="3" t="e">
        <f t="shared" si="10"/>
        <v>#NAME?</v>
      </c>
    </row>
    <row r="55" spans="8:9" x14ac:dyDescent="0.2">
      <c r="H55" s="3" t="e">
        <f>IF((H54+$L$3)&lt;=$D$1,(H54+$L$3),IR)</f>
        <v>#NAME?</v>
      </c>
      <c r="I55" s="3" t="e">
        <f t="shared" si="10"/>
        <v>#NAME?</v>
      </c>
    </row>
    <row r="56" spans="8:9" x14ac:dyDescent="0.2">
      <c r="H56" s="3" t="e">
        <f>IF((H55+$L$3)&lt;=$D$1,(H55+$L$3),IR)</f>
        <v>#NAME?</v>
      </c>
      <c r="I56" s="3" t="e">
        <f t="shared" si="10"/>
        <v>#NAME?</v>
      </c>
    </row>
    <row r="57" spans="8:9" x14ac:dyDescent="0.2">
      <c r="H57" s="3" t="e">
        <f>IF((H56+$L$3)&lt;=$D$1,(H56+$L$3),IR)</f>
        <v>#NAME?</v>
      </c>
      <c r="I57" s="3" t="e">
        <f t="shared" ref="I57:I60" si="11">H57</f>
        <v>#NAME?</v>
      </c>
    </row>
    <row r="58" spans="8:9" x14ac:dyDescent="0.2">
      <c r="H58" s="3" t="e">
        <f>IF((H57+$L$3)&lt;=$D$1,(H57+$L$3),IR)</f>
        <v>#NAME?</v>
      </c>
      <c r="I58" s="3" t="e">
        <f t="shared" si="11"/>
        <v>#NAME?</v>
      </c>
    </row>
    <row r="59" spans="8:9" x14ac:dyDescent="0.2">
      <c r="H59" s="3" t="e">
        <f>IF((H58+$L$3)&lt;=$D$1,(H58+$L$3),IR)</f>
        <v>#NAME?</v>
      </c>
      <c r="I59" s="3" t="e">
        <f t="shared" si="11"/>
        <v>#NAME?</v>
      </c>
    </row>
    <row r="60" spans="8:9" x14ac:dyDescent="0.2">
      <c r="H60" s="3" t="e">
        <f>IF((H59+$L$3)&lt;=$D$1,(H59+$L$3),IR)</f>
        <v>#NAME?</v>
      </c>
      <c r="I60" s="3" t="e">
        <f t="shared" si="11"/>
        <v>#NAME?</v>
      </c>
    </row>
  </sheetData>
  <mergeCells count="4">
    <mergeCell ref="D7:F7"/>
    <mergeCell ref="L7:N7"/>
    <mergeCell ref="R7:T7"/>
    <mergeCell ref="V7:Z7"/>
  </mergeCells>
  <phoneticPr fontId="0" type="noConversion"/>
  <printOptions gridLinesSet="0"/>
  <pageMargins left="0.75" right="0.75" top="1" bottom="1" header="0.5" footer="0.5"/>
  <pageSetup paperSize="9" orientation="portrait" r:id="rId1"/>
  <headerFooter alignWithMargins="0">
    <oddHeader>&amp;F</oddHeader>
    <oddFooter>Page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Set Item Permission, based on rettighedsgruppe</Name>
    <Synchronization>Asynchronous</Synchronization>
    <Type>10001</Type>
    <SequenceNumber>1010</SequenceNumber>
    <Assembly>DAAS.WebInfo.Common, Version=1.0.0.0, Culture=neutral, PublicKeyToken=f192aeb827ef4bcc</Assembly>
    <Class>DAAS.WebInfo.Common.EventReceivers.RightsGroupItemEventReceiver</Class>
    <Data/>
    <Filter/>
  </Receiver>
  <Receiver>
    <Name>Set Item Permission, based on rettighedsgruppe</Name>
    <Synchronization>Asynchronous</Synchronization>
    <Type>10002</Type>
    <SequenceNumber>1010</SequenceNumber>
    <Assembly>DAAS.WebInfo.Common, Version=1.0.0.0, Culture=neutral, PublicKeyToken=f192aeb827ef4bcc</Assembly>
    <Class>DAAS.WebInfo.Common.EventReceivers.RightsGroupItemEventReceiver</Class>
    <Data/>
    <Filter/>
  </Receiver>
  <Receiver>
    <Name>WebInfo Content Page Event</Name>
    <Synchronization>Synchronous</Synchronization>
    <Type>1</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Synchronous</Synchronization>
    <Type>2</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Asynchronous</Synchronization>
    <Type>10002</Type>
    <SequenceNumber>1030</SequenceNumber>
    <Assembly>DAAS.WebInfo.Common, Version=1.0.0.0, Culture=neutral, PublicKeyToken=f192aeb827ef4bcc</Assembly>
    <Class>DAAS.WebInfo.Common.EventReceivers.WebInfoContentPageEventReceiver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ynamicPublishingContent11 xmlns="http://schemas.microsoft.com/sharepoint/v3" xsi:nil="true"/>
    <DynamicPublishingContent14 xmlns="http://schemas.microsoft.com/sharepoint/v3" xsi:nil="true"/>
    <PublishingRollupImage xmlns="http://schemas.microsoft.com/sharepoint/v3" xsi:nil="true"/>
    <Revisionsdato xmlns="5aa14257-579e-4a1f-bbbb-3c8dd7393476">2015-10-07T09:25:00+00:00</Revisionsdato>
    <DynamicPublishingContent5 xmlns="http://schemas.microsoft.com/sharepoint/v3" xsi:nil="true"/>
    <DynamicPublishingContent12 xmlns="http://schemas.microsoft.com/sharepoint/v3" xsi:nil="true"/>
    <PublishingContactEmail xmlns="http://schemas.microsoft.com/sharepoint/v3" xsi:nil="true"/>
    <HeaderStyleDefinitions xmlns="http://schemas.microsoft.com/sharepoint/v3" xsi:nil="true"/>
    <DynamicPublishingContent4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DynamicPublishingContent7 xmlns="http://schemas.microsoft.com/sharepoint/v3" xsi:nil="true"/>
    <DynamicPublishingContent6 xmlns="http://schemas.microsoft.com/sharepoint/v3" xsi:nil="true"/>
    <Bekraeftelsesdato xmlns="5aa14257-579e-4a1f-bbbb-3c8dd7393476">2015-10-07T09:25:00+00:00</Bekraeftelsesdato>
    <DynamicPublishingContent1 xmlns="http://schemas.microsoft.com/sharepoint/v3" xsi:nil="true"/>
    <DynamicPublishingContent13 xmlns="http://schemas.microsoft.com/sharepoint/v3" xsi:nil="true"/>
    <PublishingVariationGroupID xmlns="http://schemas.microsoft.com/sharepoint/v3" xsi:nil="true"/>
    <ArticleStartDate xmlns="http://schemas.microsoft.com/sharepoint/v3">2015-10-07T09:27:23+00:00</ArticleStartDate>
    <Listekode xmlns="5aa14257-579e-4a1f-bbbb-3c8dd7393476" xsi:nil="true"/>
    <DynamicPublishingContent0 xmlns="http://schemas.microsoft.com/sharepoint/v3" xsi:nil="true"/>
    <ArticleByLine xmlns="http://schemas.microsoft.com/sharepoint/v3" xsi:nil="true"/>
    <PublishingImageCaption xmlns="http://schemas.microsoft.com/sharepoint/v3" xsi:nil="true"/>
    <Forfattere xmlns="5aa14257-579e-4a1f-bbbb-3c8dd7393476">
      <UserInfo>
        <DisplayName> </DisplayName>
        <AccountId>15709</AccountId>
        <AccountType/>
      </UserInfo>
    </Forfattere>
    <DynamicPublishingContent3 xmlns="http://schemas.microsoft.com/sharepoint/v3" xsi:nil="true"/>
    <Sorteringsorden xmlns="5aa14257-579e-4a1f-bbbb-3c8dd7393476" xsi:nil="true"/>
    <Audience xmlns="http://schemas.microsoft.com/sharepoint/v3" xsi:nil="true"/>
    <PublishingPageImage xmlns="http://schemas.microsoft.com/sharepoint/v3" xsi:nil="true"/>
    <DynamicPublishingContent2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Informationsserie xmlns="5aa14257-579e-4a1f-bbbb-3c8dd7393476" xsi:nil="true"/>
    <PublishingStartDate xmlns="http://schemas.microsoft.com/sharepoint/v3" xsi:nil="true"/>
    <DynamicPublishingContent9 xmlns="http://schemas.microsoft.com/sharepoint/v3" xsi:nil="true"/>
    <DynamicPublishingContent10 xmlns="http://schemas.microsoft.com/sharepoint/v3" xsi:nil="true"/>
    <PublishingContact xmlns="http://schemas.microsoft.com/sharepoint/v3">
      <UserInfo>
        <DisplayName/>
        <AccountId xsi:nil="true"/>
        <AccountType/>
      </UserInfo>
    </PublishingContact>
    <PublishingContactName xmlns="http://schemas.microsoft.com/sharepoint/v3" xsi:nil="true"/>
    <Noegleord xmlns="5aa14257-579e-4a1f-bbbb-3c8dd7393476" xsi:nil="true"/>
    <DynamicPublishingContent8 xmlns="http://schemas.microsoft.com/sharepoint/v3" xsi:nil="true"/>
    <TaxCatchAll xmlns="303eeafb-7dff-46db-9396-e9c651f530ea"/>
    <Comments xmlns="http://schemas.microsoft.com/sharepoint/v3" xsi:nil="true"/>
    <Nummer xmlns="5aa14257-579e-4a1f-bbbb-3c8dd7393476" xsi:nil="true"/>
    <_dlc_DocId xmlns="303eeafb-7dff-46db-9396-e9c651f530ea">LBINFO-3865-9</_dlc_DocId>
    <_dlc_DocIdUrl xmlns="303eeafb-7dff-46db-9396-e9c651f530ea">
      <Url>https://www.landbrugsinfo.dk/Afrapportering/2015/_layouts/DocIdRedir.aspx?ID=LBINFO-3865-9</Url>
      <Description>LBINFO-3865-9</Description>
    </_dlc_DocIdUrl>
    <Skribenter xmlns="5aa14257-579e-4a1f-bbbb-3c8dd7393476">
      <UserInfo>
        <DisplayName/>
        <AccountId xsi:nil="true"/>
        <AccountType/>
      </UserInfo>
    </Skribenter>
    <Kontaktpersoner xmlns="5aa14257-579e-4a1f-bbbb-3c8dd7393476">
      <UserInfo>
        <DisplayName/>
        <AccountId xsi:nil="true"/>
        <AccountType/>
      </UserInfo>
    </Kontaktpersoner>
    <_dlc_DocIdPersistId xmlns="303eeafb-7dff-46db-9396-e9c651f530ea">false</_dlc_DocIdPersistId>
    <PublishingPageLayout xmlns="http://schemas.microsoft.com/sharepoint/v3">
      <Url xsi:nil="true"/>
      <Description xsi:nil="true"/>
    </PublishingPageLayout>
    <WebInfoSubjects xmlns="d0737f6a-7398-48fd-b669-f07476da86f4" xsi:nil="true"/>
    <EnclosureFor xmlns="d0737f6a-7398-48fd-b669-f07476da86f4">
      <Url xsi:nil="true"/>
      <Description xsi:nil="true"/>
    </EnclosureFor>
    <Ansvarligafdeling xmlns="d0737f6a-7398-48fd-b669-f07476da86f4">33</Ansvarligafdeling>
    <Arkiveringsdato xmlns="d0737f6a-7398-48fd-b669-f07476da86f4">2099-12-31T23:00:00+00:00</Arkiveringsdato>
    <HideInRollups xmlns="d0737f6a-7398-48fd-b669-f07476da86f4">true</HideInRollups>
    <NetSkabelonValue xmlns="d0737f6a-7398-48fd-b669-f07476da86f4" xsi:nil="true"/>
    <PermalinkID xmlns="d0737f6a-7398-48fd-b669-f07476da86f4">6a41ab4a-df9d-41ae-8b64-97d9121cbf2e</PermalinkID>
    <Projekter xmlns="d0737f6a-7398-48fd-b669-f07476da86f4" xsi:nil="true"/>
    <TaksonomiTaxHTField0 xmlns="d0737f6a-7398-48fd-b669-f07476da86f4">
      <Terms xmlns="http://schemas.microsoft.com/office/infopath/2007/PartnerControls"/>
    </TaksonomiTaxHTField0>
    <IsHiddenFromRollup xmlns="d0737f6a-7398-48fd-b669-f07476da86f4">1</IsHiddenFromRollup>
    <HitCount xmlns="d0737f6a-7398-48fd-b669-f07476da86f4">0</HitCount>
    <Bevillingsgivere xmlns="d0737f6a-7398-48fd-b669-f07476da86f4">2;#</Bevillingsgivere>
    <FinanceYear xmlns="d0737f6a-7398-48fd-b669-f07476da86f4">2015</FinanceYear>
    <Afsender xmlns="d0737f6a-7398-48fd-b669-f07476da86f4">3</Afsender>
    <GammelURL xmlns="d0737f6a-7398-48fd-b669-f07476da86f4" xsi:nil="true"/>
    <WebInfoLawCodes xmlns="d0737f6a-7398-48fd-b669-f07476da86f4" xsi:nil="true"/>
    <Rettighedsgruppe xmlns="d0737f6a-7398-48fd-b669-f07476da86f4">1</Rettighedsgruppe>
    <Ingen_x0020_besked_x0020_ved_x0020_arkivering xmlns="d0737f6a-7398-48fd-b669-f07476da86f4">true</Ingen_x0020_besked_x0020_ved_x0020_arkivering>
    <WebInfoMultiSelect xmlns="d0737f6a-7398-48fd-b669-f07476da86f4" xsi:nil="true"/>
    <Afrapportering xmlns="d0737f6a-7398-48fd-b669-f07476da86f4">559;#</Afrapportering>
    <ProjectID xmlns="3207d369-0abb-44c3-bb9f-151624987364">X559X</Project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Landbrugsinfo Binær Fil" ma:contentTypeID="0x010100C568DB52D9D0A14D9B2FDCC96666E9F2007948130EC3DB064584E219954237AF3900242457EFB8B24247815D688C526CD44D00C26A9DBCB02B5C4DA1F017B836C045C00060750ADE2E6249BABB5C6118FC133DE800AF2E6DC7107240CAAE62CB7A7C0C3100005117645E109A604FBA287E26735831C7" ma:contentTypeVersion="97" ma:contentTypeDescription="Contenttype til binære filer der bliver publiceret på Landbrugsinfo" ma:contentTypeScope="" ma:versionID="e27b903e3403505a1ece9ab7d73412e5">
  <xsd:schema xmlns:xsd="http://www.w3.org/2001/XMLSchema" xmlns:xs="http://www.w3.org/2001/XMLSchema" xmlns:p="http://schemas.microsoft.com/office/2006/metadata/properties" xmlns:ns1="http://schemas.microsoft.com/sharepoint/v3" xmlns:ns2="d0737f6a-7398-48fd-b669-f07476da86f4" xmlns:ns3="5aa14257-579e-4a1f-bbbb-3c8dd7393476" xmlns:ns4="303eeafb-7dff-46db-9396-e9c651f530ea" xmlns:ns5="3207d369-0abb-44c3-bb9f-151624987364" targetNamespace="http://schemas.microsoft.com/office/2006/metadata/properties" ma:root="true" ma:fieldsID="a3f602d82122e74517fa0b665cad931b" ns1:_="" ns2:_="" ns3:_="" ns4:_="" ns5:_="">
    <xsd:import namespace="http://schemas.microsoft.com/sharepoint/v3"/>
    <xsd:import namespace="d0737f6a-7398-48fd-b669-f07476da86f4"/>
    <xsd:import namespace="5aa14257-579e-4a1f-bbbb-3c8dd7393476"/>
    <xsd:import namespace="303eeafb-7dff-46db-9396-e9c651f530ea"/>
    <xsd:import namespace="3207d369-0abb-44c3-bb9f-151624987364"/>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2: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2:WebInfoSubjects" minOccurs="0"/>
                <xsd:element ref="ns2:HitCount" minOccurs="0"/>
                <xsd:element ref="ns2:PermalinkID" minOccurs="0"/>
                <xsd:element ref="ns2:WebInfoMultiSelect" minOccurs="0"/>
                <xsd:element ref="ns4:_dlc_DocId" minOccurs="0"/>
                <xsd:element ref="ns4:_dlc_DocIdUrl" minOccurs="0"/>
                <xsd:element ref="ns4: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2:TaksonomiTaxHTField0" minOccurs="0"/>
                <xsd:element ref="ns4:TaxCatchAll" minOccurs="0"/>
                <xsd:element ref="ns4:TaxCatchAllLabel" minOccurs="0"/>
                <xsd:element ref="ns2:Bevillingsgivere" minOccurs="0"/>
                <xsd:element ref="ns2:FinanceYear" minOccurs="0"/>
                <xsd:element ref="ns2:WebInfoLawCodes" minOccurs="0"/>
                <xsd:element ref="ns2:Afrapportering" minOccurs="0"/>
                <xsd:element ref="ns3:Kontaktpersoner" minOccurs="0"/>
                <xsd:element ref="ns3:Skribenter" minOccurs="0"/>
                <xsd:element ref="ns5:Projec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internalName="PublishingStartDate">
      <xsd:simpleType>
        <xsd:restriction base="dms:Unknown"/>
      </xsd:simpleType>
    </xsd:element>
    <xsd:element name="PublishingExpirationDate" ma:index="10" nillable="true" ma:displayName="Slutdato for planlægning"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element name="DynamicPublishingContent0" ma:index="41" nillable="true" ma:displayName="Dynamisk sideindhold (1)" ma:hidden="true" ma:internalName="DynamicPublishingContent0">
      <xsd:simpleType>
        <xsd:restriction base="dms:Unknown"/>
      </xsd:simpleType>
    </xsd:element>
    <xsd:element name="DynamicPublishingContent1" ma:index="42" nillable="true" ma:displayName="Dynamisk sideindhold (2)" ma:hidden="true" ma:internalName="DynamicPublishingContent1">
      <xsd:simpleType>
        <xsd:restriction base="dms:Unknown"/>
      </xsd:simpleType>
    </xsd:element>
    <xsd:element name="DynamicPublishingContent2" ma:index="43" nillable="true" ma:displayName="Dynamisk sideindhold (3)" ma:hidden="true" ma:internalName="DynamicPublishingContent2">
      <xsd:simpleType>
        <xsd:restriction base="dms:Unknown"/>
      </xsd:simpleType>
    </xsd:element>
    <xsd:element name="DynamicPublishingContent3" ma:index="44" nillable="true" ma:displayName="Dynamisk sideindhold (4)" ma:hidden="true" ma:internalName="DynamicPublishingContent3">
      <xsd:simpleType>
        <xsd:restriction base="dms:Unknown"/>
      </xsd:simpleType>
    </xsd:element>
    <xsd:element name="DynamicPublishingContent4" ma:index="45" nillable="true" ma:displayName="Dynamisk sideindhold (5)" ma:hidden="true" ma:internalName="DynamicPublishingContent4">
      <xsd:simpleType>
        <xsd:restriction base="dms:Unknown"/>
      </xsd:simpleType>
    </xsd:element>
    <xsd:element name="DynamicPublishingContent5" ma:index="46" nillable="true" ma:displayName="Dynamisk sideindhold (6)" ma:hidden="true" ma:internalName="DynamicPublishingContent5">
      <xsd:simpleType>
        <xsd:restriction base="dms:Unknown"/>
      </xsd:simpleType>
    </xsd:element>
    <xsd:element name="DynamicPublishingContent6" ma:index="59" nillable="true" ma:displayName="Dynamisk sideindhold (7)" ma:hidden="true" ma:internalName="DynamicPublishingContent6">
      <xsd:simpleType>
        <xsd:restriction base="dms:Unknown"/>
      </xsd:simpleType>
    </xsd:element>
    <xsd:element name="DynamicPublishingContent7" ma:index="60" nillable="true" ma:displayName="Dynamisk sideindhold (8)" ma:hidden="true" ma:internalName="DynamicPublishingContent7">
      <xsd:simpleType>
        <xsd:restriction base="dms:Unknown"/>
      </xsd:simpleType>
    </xsd:element>
    <xsd:element name="DynamicPublishingContent8" ma:index="61" nillable="true" ma:displayName="Dynamisk sideindhold (9)" ma:hidden="true" ma:internalName="DynamicPublishingContent8">
      <xsd:simpleType>
        <xsd:restriction base="dms:Unknown"/>
      </xsd:simpleType>
    </xsd:element>
    <xsd:element name="DynamicPublishingContent9" ma:index="62" nillable="true" ma:displayName="Dynamisk sideindhold (10)" ma:hidden="true" ma:internalName="DynamicPublishingContent9">
      <xsd:simpleType>
        <xsd:restriction base="dms:Unknown"/>
      </xsd:simpleType>
    </xsd:element>
    <xsd:element name="DynamicPublishingContent10" ma:index="63" nillable="true" ma:displayName="Dynamisk sideindhold (11)" ma:hidden="true" ma:internalName="DynamicPublishingContent10">
      <xsd:simpleType>
        <xsd:restriction base="dms:Unknown"/>
      </xsd:simpleType>
    </xsd:element>
    <xsd:element name="DynamicPublishingContent11" ma:index="64" nillable="true" ma:displayName="Dynamisk sideindhold (12)" ma:hidden="true" ma:internalName="DynamicPublishingContent11">
      <xsd:simpleType>
        <xsd:restriction base="dms:Unknown"/>
      </xsd:simpleType>
    </xsd:element>
    <xsd:element name="DynamicPublishingContent12" ma:index="65" nillable="true" ma:displayName="Dynamisk sideindhold (13)" ma:hidden="true" ma:internalName="DynamicPublishingContent12">
      <xsd:simpleType>
        <xsd:restriction base="dms:Unknown"/>
      </xsd:simpleType>
    </xsd:element>
    <xsd:element name="DynamicPublishingContent13" ma:index="66" nillable="true" ma:displayName="Dynamisk sideindhold (14)" ma:hidden="true" ma:internalName="DynamicPublishingContent13">
      <xsd:simpleType>
        <xsd:restriction base="dms:Unknown"/>
      </xsd:simpleType>
    </xsd:element>
    <xsd:element name="DynamicPublishingContent14" ma:index="67"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737f6a-7398-48fd-b669-f07476da86f4"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Arkiveringsdato" ma:index="37" ma:displayName="Arkiveringsdato" ma:format="DateOnly" ma:internalName="Arkiveringsdato">
      <xsd:simpleType>
        <xsd:restriction base="dms:DateTime"/>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element name="Projekter" ma:index="51" nillable="true" ma:displayName="Projekter" ma:list="{ecf07d35-95fb-4bda-ad72-e46544058ec2}" ma:internalName="Projekter" ma:showField="LinkTitleNoMenu" ma:web="{303eeafb-7dff-46db-9396-e9c651f530ea}">
      <xsd:simpleType>
        <xsd:restriction base="dms:Unknown"/>
      </xsd:simpleType>
    </xsd:element>
    <xsd:element name="WebInfoSubjects" ma:index="52"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3" nillable="true" ma:displayName="HitCount (system)" ma:decimals="0" ma:default="0" ma:description="Antal gange et dokument er set af en bruger" ma:internalName="HitCount" ma:readOnly="false">
      <xsd:simpleType>
        <xsd:restriction base="dms:Number"/>
      </xsd:simpleType>
    </xsd:element>
    <xsd:element name="PermalinkID" ma:index="54" nillable="true" ma:displayName="Permalink ID" ma:description="Unik ID for artiklen som kan benyttes til permalink" ma:hidden="true" ma:internalName="PermalinkID" ma:readOnly="false">
      <xsd:simpleType>
        <xsd:restriction base="dms:Text">
          <xsd:maxLength value="255"/>
        </xsd:restriction>
      </xsd:simpleType>
    </xsd:element>
    <xsd:element name="WebInfoMultiSelect" ma:index="55" nillable="true" ma:displayName="Tilvalg" ma:description="Mulighed for et antal tilvalg gemt i et samlet felt." ma:internalName="WebInfoMultiSelect">
      <xsd:simpleType>
        <xsd:restriction base="dms:Unknown"/>
      </xsd:simpleType>
    </xsd:element>
    <xsd:element name="TaksonomiTaxHTField0" ma:index="68"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2"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3" nillable="true" ma:displayName="Bevillingsår" ma:decimals="0" ma:internalName="FinanceYear">
      <xsd:simpleType>
        <xsd:restriction base="dms:Number"/>
      </xsd:simpleType>
    </xsd:element>
    <xsd:element name="WebInfoLawCodes" ma:index="74"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element name="Afrapportering" ma:index="75" nillable="true" ma:displayName="Afrapportering" ma:list="{126d356a-4f5c-4bbb-91a6-e07af1934e19}" ma:internalName="Afrapportering"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element name="Kontaktpersoner" ma:index="76" nillable="true" ma:displayName="Kontaktpersoner" ma:list="UserInfo" ma:SharePointGroup="0" ma:internalName="Kontaktperson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kribenter" ma:index="77" nillable="true" ma:displayName="Skribenter" ma:list="UserInfo" ma:SharePointGroup="0" ma:internalName="Skribent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6" nillable="true" ma:displayName="Værdi for dokument-id" ma:description="Værdien af det dokument-id, der er tildelt dette element." ma:internalName="_dlc_DocId" ma:readOnly="true">
      <xsd:simpleType>
        <xsd:restriction base="dms:Text"/>
      </xsd:simpleType>
    </xsd:element>
    <xsd:element name="_dlc_DocIdUrl" ma:index="57"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8" nillable="true" ma:displayName="Persist ID" ma:description="Keep ID on add." ma:hidden="true" ma:internalName="_dlc_DocIdPersistId" ma:readOnly="true">
      <xsd:simpleType>
        <xsd:restriction base="dms:Boolean"/>
      </xsd:simpleType>
    </xsd:element>
    <xsd:element name="TaxCatchAll" ma:index="69" nillable="true" ma:displayName="Taxonomy Catch All Column" ma:descriptio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0" nillable="true" ma:displayName="Taxonomy Catch All Column1" ma:description=""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207d369-0abb-44c3-bb9f-151624987364" elementFormDefault="qualified">
    <xsd:import namespace="http://schemas.microsoft.com/office/2006/documentManagement/types"/>
    <xsd:import namespace="http://schemas.microsoft.com/office/infopath/2007/PartnerControls"/>
    <xsd:element name="ProjectID" ma:index="78" nillable="true" ma:displayName="ProjectID (system)" ma:internalName="Project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18279F-1943-4373-8131-763FFFD8231B}">
  <ds:schemaRefs>
    <ds:schemaRef ds:uri="http://schemas.microsoft.com/sharepoint/events"/>
  </ds:schemaRefs>
</ds:datastoreItem>
</file>

<file path=customXml/itemProps2.xml><?xml version="1.0" encoding="utf-8"?>
<ds:datastoreItem xmlns:ds="http://schemas.openxmlformats.org/officeDocument/2006/customXml" ds:itemID="{453E3B26-CEC3-44EC-B6F0-AD8D1AC73CC0}">
  <ds:schemaRefs>
    <ds:schemaRef ds:uri="http://schemas.microsoft.com/office/2006/metadata/properties"/>
    <ds:schemaRef ds:uri="http://schemas.microsoft.com/office/infopath/2007/PartnerControls"/>
    <ds:schemaRef ds:uri="http://schemas.microsoft.com/sharepoint/v3"/>
    <ds:schemaRef ds:uri="5aa14257-579e-4a1f-bbbb-3c8dd7393476"/>
    <ds:schemaRef ds:uri="303eeafb-7dff-46db-9396-e9c651f530ea"/>
    <ds:schemaRef ds:uri="d0737f6a-7398-48fd-b669-f07476da86f4"/>
    <ds:schemaRef ds:uri="3207d369-0abb-44c3-bb9f-151624987364"/>
  </ds:schemaRefs>
</ds:datastoreItem>
</file>

<file path=customXml/itemProps3.xml><?xml version="1.0" encoding="utf-8"?>
<ds:datastoreItem xmlns:ds="http://schemas.openxmlformats.org/officeDocument/2006/customXml" ds:itemID="{F1F9AE7F-F32E-4B39-9508-CB7372E5AB34}">
  <ds:schemaRefs>
    <ds:schemaRef ds:uri="http://schemas.microsoft.com/sharepoint/v3/contenttype/forms"/>
  </ds:schemaRefs>
</ds:datastoreItem>
</file>

<file path=customXml/itemProps4.xml><?xml version="1.0" encoding="utf-8"?>
<ds:datastoreItem xmlns:ds="http://schemas.openxmlformats.org/officeDocument/2006/customXml" ds:itemID="{45A3B7CD-D53D-46B1-854E-8FE6280E5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0737f6a-7398-48fd-b669-f07476da86f4"/>
    <ds:schemaRef ds:uri="5aa14257-579e-4a1f-bbbb-3c8dd7393476"/>
    <ds:schemaRef ds:uri="303eeafb-7dff-46db-9396-e9c651f530ea"/>
    <ds:schemaRef ds:uri="3207d369-0abb-44c3-bb9f-1516249873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Pil</vt:lpstr>
      <vt:lpstr>FAKTKOL</vt:lpstr>
      <vt:lpstr>Pil!Udskriftsområde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Helskudshøst 2015</dc:title>
  <dc:creator>Søren Ugilt Larsen</dc:creator>
  <cp:lastModifiedBy>Sanne Trampedach</cp:lastModifiedBy>
  <cp:lastPrinted>2008-06-22T19:47:22Z</cp:lastPrinted>
  <dcterms:created xsi:type="dcterms:W3CDTF">1998-06-12T12:58:38Z</dcterms:created>
  <dcterms:modified xsi:type="dcterms:W3CDTF">2022-12-19T10:55:24Z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0x010100C568DB52D9D0A14D9B2FDCC96666E9F2007948130EC3DB064584E219954237AF3900242457EFB8B24247815D688C526CD44D00C26A9DBCB02B5C4DA1F017B836C045C00060750ADE2E6249BABB5C6118FC133DE800AF2E6DC7107240CAAE62CB7A7C0C3100005117645E109A604FBA287E26735831C7</vt:lpwstr>
  </property>
  <property fmtid="{D5CDD505-2E9C-101B-9397-08002B2CF9AE}" pid="3" name="_dlc_DocIdItemGuid">
    <vt:lpwstr>da91703f-5424-4fe9-b55e-398be0cdf2aa</vt:lpwstr>
  </property>
  <property fmtid="{D5CDD505-2E9C-101B-9397-08002B2CF9AE}" pid="4" name="Taksonomi">
    <vt:lpwstr/>
  </property>
  <property fmtid="{D5CDD505-2E9C-101B-9397-08002B2CF9AE}" pid="5" name="Order">
    <vt:r8>900</vt:r8>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display_urn">
    <vt:lpwstr>Søren Ugilt Larsen (LCSOL)</vt:lpwstr>
  </property>
  <property fmtid="{D5CDD505-2E9C-101B-9397-08002B2CF9AE}" pid="11" name="xd_Signature">
    <vt:bool>false</vt:bool>
  </property>
</Properties>
</file>